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0800" windowHeight="79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<sst xmlns="http://schemas.openxmlformats.org/spreadsheetml/2006/main" count="1072" uniqueCount="877">
  <si>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</si>
  <si>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</si>
  <si>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</si>
  <si>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</si>
  <si>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</si>
  <si>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</si>
  <si>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</si>
  <si>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</si>
  <si>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</si>
  <si>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</si>
  <si>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</si>
  <si>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</si>
  <si>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</si>
  <si>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</si>
  <si>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</si>
  <si>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</si>
  <si>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</si>
  <si>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</si>
  <si>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</si>
  <si>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</si>
  <si>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</si>
  <si>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</si>
  <si>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</si>
  <si>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</si>
  <si>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</si>
  <si>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</si>
  <si>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</si>
  <si>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</si>
  <si>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</si>
  <si>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</si>
  <si>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</si>
  <si>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</si>
  <si>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</si>
  <si>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</si>
  <si>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</si>
  <si>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</si>
  <si>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</si>
  <si>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</si>
  <si>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</si>
  <si>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</si>
  <si>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</si>
  <si>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</si>
  <si>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</si>
  <si>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</si>
  <si>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</si>
  <si>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</si>
  <si>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</si>
  <si>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</si>
  <si>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</si>
  <si>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</si>
  <si>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</si>
  <si>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</si>
  <si>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</si>
  <si>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</si>
  <si>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</si>
  <si>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</si>
  <si>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</si>
  <si>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</si>
  <si>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</si>
  <si>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</si>
  <si>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</si>
  <si>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</si>
  <si>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</si>
  <si>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</si>
  <si>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</si>
  <si>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</si>
  <si>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</si>
  <si>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</si>
  <si>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</si>
  <si>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</si>
  <si>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</si>
  <si>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</si>
  <si>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</si>
  <si>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</si>
  <si>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</si>
  <si>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</si>
  <si>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</si>
  <si>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</si>
  <si>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</si>
  <si>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</si>
  <si>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</si>
  <si>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</si>
  <si>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</si>
  <si>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</si>
  <si>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</si>
  <si>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</si>
  <si>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</si>
  <si>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</si>
  <si>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</si>
  <si>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</si>
  <si>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</si>
  <si>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</si>
  <si>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</si>
  <si>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</si>
  <si>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</si>
  <si>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</si>
  <si>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</si>
  <si>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</si>
  <si>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</si>
  <si>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</si>
  <si>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</si>
  <si>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</si>
  <si>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</si>
  <si>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</si>
  <si>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</si>
  <si>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</si>
  <si>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</si>
  <si>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</si>
  <si>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</si>
  <si>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</si>
  <si>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</si>
  <si>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</si>
  <si>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</si>
  <si>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</si>
  <si>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</si>
  <si>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</si>
  <si>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</si>
  <si>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</si>
  <si>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</si>
  <si>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</si>
  <si>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</si>
  <si>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</si>
  <si>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</si>
  <si>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</si>
  <si>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</si>
  <si>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</si>
  <si>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</si>
  <si>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</si>
  <si>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</si>
  <si>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</si>
  <si>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</si>
  <si>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</si>
  <si>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</si>
  <si>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</si>
  <si>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</si>
  <si>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</si>
  <si>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</si>
  <si>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</si>
  <si>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</si>
  <si>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</si>
  <si>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</si>
  <si>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</si>
  <si>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</si>
  <si>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</si>
  <si>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</si>
  <si>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</si>
  <si>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</si>
  <si>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</si>
  <si>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</si>
  <si>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</si>
  <si>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</si>
  <si>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</si>
  <si>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</si>
  <si>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</si>
  <si>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</si>
  <si>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</si>
  <si>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</si>
  <si>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</si>
  <si>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</si>
  <si>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</si>
  <si>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</si>
  <si>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</si>
  <si>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</si>
  <si>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</si>
  <si>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</si>
  <si>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</si>
  <si>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</si>
  <si>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</si>
  <si>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</si>
  <si>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</si>
  <si>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</si>
  <si>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</si>
  <si>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</si>
  <si>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</si>
  <si>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</si>
  <si>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</si>
  <si>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</si>
  <si>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</si>
  <si>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</si>
  <si>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</si>
  <si>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</si>
  <si>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</si>
  <si>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</si>
  <si>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</si>
  <si>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</si>
  <si>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</si>
  <si>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</si>
  <si>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</si>
  <si>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</si>
  <si>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</si>
  <si>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</si>
  <si>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</si>
  <si>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</si>
  <si>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</si>
  <si>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</si>
  <si>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</si>
  <si>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</si>
  <si>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</si>
  <si>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</si>
  <si>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</si>
  <si>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</si>
  <si>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</si>
  <si>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</si>
  <si>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</si>
  <si>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</si>
  <si>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</si>
  <si>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</si>
  <si>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</si>
  <si>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</si>
  <si>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</si>
  <si>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</si>
  <si>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</si>
  <si>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</si>
  <si>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</si>
  <si>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</si>
  <si>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</si>
  <si>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</si>
  <si>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</si>
  <si>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</si>
  <si>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</si>
  <si>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</si>
  <si>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</si>
  <si>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</si>
  <si>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</si>
  <si>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</si>
  <si>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</si>
  <si>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</si>
  <si>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</si>
  <si>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</si>
  <si>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</si>
  <si>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</si>
  <si>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</si>
  <si>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</si>
  <si>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</si>
  <si>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</si>
  <si>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</si>
  <si>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</si>
  <si>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</si>
  <si>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</si>
  <si>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</si>
  <si>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</si>
  <si>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</si>
  <si>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</si>
  <si>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</si>
  <si>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</si>
  <si>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</si>
  <si>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</si>
  <si>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</si>
  <si>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</si>
  <si>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</si>
  <si>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</si>
  <si>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</si>
  <si>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</si>
  <si>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</si>
  <si>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</si>
  <si>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</si>
  <si>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</si>
  <si>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</si>
  <si>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</si>
  <si>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</si>
  <si>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</si>
  <si>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</si>
  <si>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</si>
  <si>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</si>
  <si>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</si>
  <si>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</si>
  <si>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</si>
  <si>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</si>
  <si>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</si>
  <si>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</si>
  <si>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</si>
  <si>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</si>
  <si>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</si>
  <si>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</si>
  <si>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</si>
  <si>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</si>
  <si>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</si>
  <si>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</si>
  <si>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</si>
  <si>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</si>
  <si>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</si>
  <si>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</si>
  <si>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</si>
  <si>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</si>
  <si>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</si>
  <si>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</si>
  <si>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</si>
  <si>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</si>
  <si>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</si>
  <si>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</si>
  <si>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</si>
  <si>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</si>
  <si>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</si>
  <si>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</si>
  <si>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</si>
  <si>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</si>
  <si>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</si>
  <si>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</si>
  <si>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</si>
  <si>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</si>
  <si>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</si>
  <si>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</si>
  <si>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</si>
  <si>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</si>
  <si>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</si>
  <si>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</si>
  <si>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</si>
  <si>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</si>
  <si>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</si>
  <si>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</si>
  <si>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</si>
  <si>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</si>
  <si>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</si>
  <si>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</si>
  <si>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</si>
  <si>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</si>
  <si>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</si>
  <si>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</si>
  <si>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</si>
  <si>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</si>
  <si>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</si>
  <si>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</si>
  <si>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</si>
  <si>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</si>
  <si>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</si>
  <si>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</si>
  <si>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</si>
  <si>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</si>
  <si>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</si>
  <si>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</si>
  <si>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</si>
  <si>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</si>
  <si>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</si>
  <si>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</si>
  <si>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</si>
  <si>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</si>
  <si>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</si>
  <si>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</si>
  <si>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</si>
  <si>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</si>
  <si>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</si>
  <si>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</si>
  <si>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</si>
  <si>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</si>
  <si>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</si>
  <si>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</si>
  <si>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</si>
  <si>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</si>
  <si>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</si>
  <si>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</si>
  <si>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</si>
  <si>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</si>
  <si>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</si>
  <si>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</si>
  <si>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</si>
  <si>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</si>
  <si>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</si>
  <si>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</si>
  <si>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</si>
  <si>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</si>
  <si>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</si>
  <si>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</si>
  <si>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</si>
  <si>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</si>
  <si>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</si>
  <si>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</si>
  <si>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</si>
  <si>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</si>
  <si>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</si>
  <si>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</si>
  <si>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</si>
  <si>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</si>
  <si>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</si>
  <si>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</si>
  <si>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</si>
  <si>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</si>
  <si>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</si>
  <si>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</si>
  <si>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</si>
  <si>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</si>
  <si>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</si>
  <si>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</si>
  <si>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</si>
  <si>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</si>
  <si>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</si>
  <si>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</si>
  <si>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</si>
  <si>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</si>
  <si>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</si>
  <si>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</si>
  <si>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</si>
  <si>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</si>
  <si>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</si>
  <si>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</si>
  <si>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</si>
  <si>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</si>
  <si>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</si>
  <si>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</si>
  <si>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</si>
  <si>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</si>
  <si>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</si>
  <si>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</si>
  <si>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</si>
  <si>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</si>
  <si>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</si>
  <si>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</si>
  <si>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</si>
  <si>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</si>
  <si>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</si>
  <si>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</si>
  <si>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</si>
  <si>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</si>
  <si>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</si>
  <si>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</si>
  <si>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</si>
  <si>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</si>
  <si>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</si>
  <si>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</si>
  <si>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</si>
  <si>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</si>
  <si>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</si>
  <si>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</si>
  <si>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</si>
  <si>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</si>
  <si>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</si>
  <si>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</si>
  <si>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</si>
  <si>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</si>
  <si>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</si>
  <si>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</si>
  <si>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</si>
  <si>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</si>
  <si>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</si>
  <si>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</si>
  <si>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</si>
  <si>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</si>
  <si>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</si>
  <si>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</si>
  <si>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</si>
  <si>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</si>
  <si>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</si>
  <si>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</si>
  <si>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</si>
  <si>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</si>
  <si>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</si>
  <si>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</si>
  <si>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</si>
  <si>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</si>
  <si>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</si>
  <si>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</si>
  <si>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</si>
  <si>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</si>
  <si>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</si>
  <si>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</si>
  <si>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</si>
  <si>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</si>
  <si>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</si>
  <si>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</si>
  <si>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</si>
  <si>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</si>
  <si>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</si>
  <si>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</si>
  <si>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</si>
  <si>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</si>
  <si>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</si>
  <si>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</si>
  <si>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</si>
  <si>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</si>
  <si>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</si>
  <si>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</si>
  <si>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</si>
  <si>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</si>
  <si>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</si>
  <si>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</si>
  <si>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</si>
  <si>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</si>
  <si>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</si>
  <si>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</si>
  <si>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</si>
  <si>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</si>
  <si>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</si>
  <si>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</si>
  <si>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</si>
  <si>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</si>
  <si>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</si>
  <si>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</si>
  <si>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</si>
  <si>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</si>
  <si>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</si>
  <si>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</si>
  <si>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</si>
  <si>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</si>
  <si>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</si>
  <si>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</si>
  <si>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</si>
  <si>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</si>
  <si>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</si>
  <si>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</si>
  <si>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</si>
  <si>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</si>
  <si>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</si>
  <si>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</si>
  <si>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</si>
  <si>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</si>
  <si>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</si>
  <si>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</si>
  <si>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</si>
  <si>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</si>
  <si>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</si>
  <si>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</si>
  <si>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</si>
  <si>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</si>
  <si>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</si>
  <si>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</si>
  <si>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</si>
  <si>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</si>
  <si>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</si>
  <si>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</si>
  <si>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</si>
  <si>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</si>
  <si>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</si>
  <si>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</si>
  <si>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</si>
  <si>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</si>
  <si>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</si>
  <si>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</si>
  <si>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</si>
  <si>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</si>
  <si>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</si>
  <si>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</si>
  <si>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</si>
  <si>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</si>
  <si>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</si>
  <si>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</si>
  <si>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</si>
  <si>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</si>
  <si>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</si>
  <si>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</si>
  <si>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</si>
  <si>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</si>
  <si>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</si>
  <si>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</si>
  <si>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</si>
  <si>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</si>
  <si>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</si>
  <si>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</si>
  <si>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</si>
  <si>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</si>
  <si>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</si>
  <si>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</si>
  <si>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</si>
  <si>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</si>
  <si>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</si>
  <si>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</si>
  <si>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</si>
  <si>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</si>
  <si>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</si>
  <si>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</si>
  <si>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</si>
  <si>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</si>
  <si>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</si>
  <si>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</si>
  <si>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</si>
  <si>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</si>
  <si>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</si>
  <si>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</si>
  <si>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</si>
  <si>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</si>
  <si>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</si>
  <si>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</si>
  <si>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</si>
  <si>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</si>
  <si>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</si>
  <si>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</si>
  <si>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</si>
  <si>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</si>
  <si>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</si>
  <si>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</si>
  <si>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</si>
  <si>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</si>
  <si>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</si>
  <si>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</si>
  <si>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</si>
  <si>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</si>
  <si>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</si>
  <si>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</si>
  <si>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</si>
  <si>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</si>
  <si>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</si>
  <si>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</si>
  <si>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</si>
  <si>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</si>
  <si>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</si>
  <si>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</si>
  <si>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</si>
  <si>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</si>
  <si>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</si>
  <si>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</si>
  <si>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</si>
  <si>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</si>
  <si>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</si>
  <si>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</si>
  <si>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</si>
  <si>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</si>
  <si>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</si>
  <si>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</si>
  <si>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</si>
  <si>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</si>
  <si>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</si>
  <si>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</si>
  <si>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</si>
  <si>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</si>
  <si>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</si>
  <si>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</si>
  <si>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</si>
  <si>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</si>
  <si>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</si>
  <si>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</si>
  <si>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</si>
  <si>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</si>
  <si>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</si>
  <si>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</si>
  <si>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</si>
  <si>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</si>
  <si>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</si>
  <si>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</si>
  <si>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</si>
  <si>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</si>
  <si>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</si>
  <si>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</si>
  <si>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</si>
  <si>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</si>
  <si>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</si>
  <si>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</si>
  <si>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</si>
  <si>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</si>
  <si>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</si>
  <si>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</si>
  <si>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</si>
  <si>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</si>
  <si>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</si>
  <si>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</si>
  <si>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</si>
  <si>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</si>
  <si>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</si>
  <si>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</si>
  <si>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</si>
  <si>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</si>
  <si>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</si>
  <si>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</si>
  <si>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</si>
  <si>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</si>
  <si>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</si>
  <si>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</si>
  <si>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</si>
  <si>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</si>
  <si>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</si>
  <si>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</si>
  <si>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</si>
  <si>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</si>
  <si>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</si>
  <si>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</si>
  <si>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</si>
  <si>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</si>
  <si>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</si>
  <si>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</si>
  <si>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</si>
  <si>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</si>
  <si>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</si>
  <si>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</si>
  <si>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</si>
  <si>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</si>
  <si>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</si>
  <si>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</si>
  <si>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</si>
  <si>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</si>
  <si>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</si>
  <si>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</si>
  <si>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</si>
  <si>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</si>
  <si>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</si>
  <si>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</si>
  <si>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</si>
  <si>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</si>
  <si>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</si>
  <si>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</si>
  <si>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</si>
  <si>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</si>
  <si>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</si>
  <si>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</si>
  <si>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</si>
  <si>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</si>
  <si>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</si>
  <si>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</si>
  <si>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</si>
  <si>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</si>
  <si>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</si>
  <si>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</si>
  <si>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</si>
  <si>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</si>
  <si>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</si>
  <si>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</si>
  <si>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</si>
  <si>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</si>
  <si>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</si>
  <si>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</si>
  <si>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</si>
  <si>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</si>
  <si>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</si>
  <si>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</si>
  <si>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</si>
  <si>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</si>
  <si>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</si>
  <si>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</si>
  <si>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</si>
  <si>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</si>
  <si>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</si>
  <si>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</si>
  <si>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</si>
  <si>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</si>
  <si>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</si>
  <si>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</si>
  <si>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</si>
  <si>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</si>
  <si>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</si>
  <si>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</si>
  <si>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</si>
  <si>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</si>
  <si>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</si>
  <si>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</si>
  <si>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</si>
  <si>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</si>
  <si>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</si>
  <si>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</si>
  <si>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</si>
  <si>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</si>
  <si>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</si>
  <si>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</si>
  <si>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</si>
  <si>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</si>
  <si>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</si>
  <si>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</si>
  <si>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</si>
  <si>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</si>
  <si>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</si>
  <si>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</si>
  <si>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</si>
  <si>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</si>
  <si>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</si>
  <si>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</si>
  <si>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</si>
  <si>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</si>
  <si>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</si>
  <si>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</si>
  <si>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</si>
  <si>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</si>
  <si>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</si>
  <si>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</si>
  <si>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</si>
  <si>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</si>
  <si>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</si>
  <si>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</si>
  <si>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</si>
  <si>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</si>
  <si>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</si>
  <si>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</si>
  <si>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</si>
  <si>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</si>
  <si>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</si>
  <si>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</si>
  <si>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</si>
  <si>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</si>
  <si>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</si>
  <si>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</si>
  <si>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</si>
  <si>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</si>
  <si>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</si>
  <si>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</si>
  <si>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</si>
  <si>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</si>
  <si>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</si>
  <si>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</si>
  <si>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</si>
  <si>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</si>
  <si>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</si>
  <si>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</si>
  <si>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</si>
  <si>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</si>
  <si>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</si>
  <si>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</si>
  <si>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</si>
  <si>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</si>
  <si>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</si>
  <si>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</si>
  <si>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</si>
  <si>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</si>
  <si>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</si>
  <si>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</si>
  <si>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</si>
  <si>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</si>
  <si>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</si>
  <si>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</si>
  <si>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</si>
  <si>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</si>
  <si>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</si>
  <si>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</si>
  <si>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</si>
  <si>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</si>
  <si>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</si>
  <si>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</si>
  <si>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</si>
  <si>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</si>
  <si>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</si>
  <si>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</si>
  <si>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</si>
  <si>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</si>
  <si>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</si>
  <si>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</si>
  <si>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</si>
  <si>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</si>
  <si>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</si>
  <si>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</si>
  <si>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</si>
  <si>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</si>
  <si>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</si>
  <si>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</si>
  <si>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</si>
  <si>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</si>
  <si>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</si>
  <si>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</si>
  <si>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</si>
  <si>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</si>
  <si>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</si>
  <si>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</si>
  <si>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</si>
  <si>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</si>
  <si>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</si>
  <si>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</si>
  <si>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</si>
  <si>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</si>
  <si>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</si>
  <si>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</si>
  <si>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</si>
  <si>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</si>
  <si>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</si>
  <si>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</si>
  <si>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</si>
  <si>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</si>
  <si>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</si>
  <si>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</si>
  <si>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</si>
  <si>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</si>
  <si>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</si>
  <si>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</si>
  <si>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</si>
  <si>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</si>
  <si>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</si>
  <si>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</si>
  <si>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</si>
  <si>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</si>
  <si>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</si>
  <si>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</si>
  <si>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Орфей клуб уелнес АД</t>
  </si>
  <si>
    <t>.</t>
  </si>
  <si>
    <t>Съставител: Акаунт Финанс Консулт ООД</t>
  </si>
  <si>
    <t xml:space="preserve"> Акаунт Финанс Консулт ООД</t>
  </si>
  <si>
    <t>Съставител:  Акаунт Финанс Консулт ООД</t>
  </si>
  <si>
    <t xml:space="preserve">                       Съставител:  Акаунт Финанс Консулт ООД</t>
  </si>
  <si>
    <t>Съставител:   Акаунт Финанс Консулт ООД</t>
  </si>
  <si>
    <t>към 31.12.2013 г</t>
  </si>
  <si>
    <t>"АТЛАС ФИНАНС"АД</t>
  </si>
  <si>
    <t>/Венелин Йорданов/</t>
  </si>
  <si>
    <t>1. Оптела  АД</t>
  </si>
  <si>
    <t>Дата на съставяне:28.10.2014</t>
  </si>
  <si>
    <t>Дата на съставяне:  28.10.2014</t>
  </si>
  <si>
    <t>Дата  на съставяне: 28.10.2014</t>
  </si>
  <si>
    <t>Дата на съставяне: 28.10.2014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</si>
</sst>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94" sqref="G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870</v>
      </c>
      <c r="F3" s="217" t="s">
        <v>2</v>
      </c>
      <c r="G3" s="172"/>
      <c r="H3" s="461">
        <v>201164403</v>
      </c>
    </row>
    <row r="4" spans="1:8" ht="15">
      <c r="A4" s="577" t="s">
        <v>3</v>
      </c>
      <c r="B4" s="583"/>
      <c r="C4" s="583"/>
      <c r="D4" s="583"/>
      <c r="E4" s="504" t="s">
        <v>861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>
        <v>41912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9595</v>
      </c>
      <c r="H11" s="152">
        <v>9595</v>
      </c>
    </row>
    <row r="12" spans="1:8" ht="15">
      <c r="A12" s="235" t="s">
        <v>24</v>
      </c>
      <c r="B12" s="241" t="s">
        <v>25</v>
      </c>
      <c r="C12" s="151">
        <v>363</v>
      </c>
      <c r="D12" s="151">
        <v>376</v>
      </c>
      <c r="E12" s="237" t="s">
        <v>26</v>
      </c>
      <c r="F12" s="242" t="s">
        <v>27</v>
      </c>
      <c r="G12" s="153">
        <v>9595</v>
      </c>
      <c r="H12" s="153">
        <v>9595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9595</v>
      </c>
      <c r="H17" s="154">
        <f>H11+H14+H15+H16</f>
        <v>9595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365</v>
      </c>
      <c r="D19" s="155">
        <f>SUM(D11:D18)</f>
        <v>377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369</v>
      </c>
      <c r="D20" s="151">
        <v>369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155</v>
      </c>
      <c r="H27" s="154">
        <f>SUM(H28:H30)</f>
        <v>131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</v>
      </c>
      <c r="H28" s="152">
        <v>212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137</v>
      </c>
      <c r="H33" s="154">
        <f>H27+H31+H32</f>
        <v>155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8374</v>
      </c>
      <c r="D34" s="155">
        <f>SUM(D35:D38)</f>
        <v>8374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9732</v>
      </c>
      <c r="H36" s="154">
        <f>H25+H17+H33</f>
        <v>9750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5599</v>
      </c>
      <c r="D37" s="151">
        <v>5599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2775</v>
      </c>
      <c r="D38" s="151">
        <v>2775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731</v>
      </c>
      <c r="H43" s="152">
        <v>731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8374</v>
      </c>
      <c r="D45" s="155">
        <f>D34+D39+D44</f>
        <v>8374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119</v>
      </c>
      <c r="H46" s="152">
        <v>246</v>
      </c>
    </row>
    <row r="47" spans="1:13" ht="15">
      <c r="A47" s="235" t="s">
        <v>143</v>
      </c>
      <c r="B47" s="241" t="s">
        <v>144</v>
      </c>
      <c r="C47" s="151">
        <v>12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970</v>
      </c>
      <c r="D48" s="151">
        <v>1300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850</v>
      </c>
      <c r="H49" s="154">
        <f>SUM(H43:H48)</f>
        <v>977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982</v>
      </c>
      <c r="D51" s="155">
        <f>SUM(D47:D50)</f>
        <v>1300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1146</v>
      </c>
      <c r="H53" s="152">
        <v>1146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10093</v>
      </c>
      <c r="D55" s="155">
        <f>D19+D20+D21+D27+D32+D45+D51+D53+D54</f>
        <v>10423</v>
      </c>
      <c r="E55" s="237" t="s">
        <v>172</v>
      </c>
      <c r="F55" s="261" t="s">
        <v>173</v>
      </c>
      <c r="G55" s="154">
        <f>G49+G51+G52+G53+G54</f>
        <v>1996</v>
      </c>
      <c r="H55" s="154">
        <f>H49+H51+H52+H53+H54</f>
        <v>2123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377</v>
      </c>
      <c r="H61" s="154">
        <f>SUM(H62:H68)</f>
        <v>420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299</v>
      </c>
      <c r="H62" s="152">
        <v>288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69</v>
      </c>
      <c r="H63" s="152">
        <v>99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17</v>
      </c>
      <c r="D64" s="155">
        <f>SUM(D58:D63)</f>
        <v>19</v>
      </c>
      <c r="E64" s="237" t="s">
        <v>200</v>
      </c>
      <c r="F64" s="242" t="s">
        <v>201</v>
      </c>
      <c r="G64" s="152">
        <v>1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4</v>
      </c>
    </row>
    <row r="67" spans="1:8" ht="15">
      <c r="A67" s="235" t="s">
        <v>207</v>
      </c>
      <c r="B67" s="241" t="s">
        <v>208</v>
      </c>
      <c r="C67" s="151">
        <v>56</v>
      </c>
      <c r="D67" s="151">
        <v>35</v>
      </c>
      <c r="E67" s="237" t="s">
        <v>209</v>
      </c>
      <c r="F67" s="242" t="s">
        <v>210</v>
      </c>
      <c r="G67" s="152">
        <v>2</v>
      </c>
      <c r="H67" s="152">
        <v>6</v>
      </c>
    </row>
    <row r="68" spans="1:8" ht="15">
      <c r="A68" s="235" t="s">
        <v>211</v>
      </c>
      <c r="B68" s="241" t="s">
        <v>212</v>
      </c>
      <c r="C68" s="151">
        <v>54</v>
      </c>
      <c r="D68" s="151">
        <v>54</v>
      </c>
      <c r="E68" s="237" t="s">
        <v>213</v>
      </c>
      <c r="F68" s="242" t="s">
        <v>214</v>
      </c>
      <c r="G68" s="152">
        <v>1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5</v>
      </c>
      <c r="D69" s="151">
        <v>2</v>
      </c>
      <c r="E69" s="251" t="s">
        <v>78</v>
      </c>
      <c r="F69" s="242" t="s">
        <v>217</v>
      </c>
      <c r="G69" s="152">
        <v>394</v>
      </c>
      <c r="H69" s="152">
        <v>399</v>
      </c>
    </row>
    <row r="70" spans="1:8" ht="15">
      <c r="A70" s="235" t="s">
        <v>218</v>
      </c>
      <c r="B70" s="241" t="s">
        <v>219</v>
      </c>
      <c r="C70" s="151">
        <v>73</v>
      </c>
      <c r="D70" s="151">
        <v>60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771</v>
      </c>
      <c r="H71" s="161">
        <f>H59+H60+H61+H69+H70</f>
        <v>819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811</v>
      </c>
      <c r="D74" s="151">
        <v>700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999</v>
      </c>
      <c r="D75" s="155">
        <f>SUM(D67:D74)</f>
        <v>851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1313</v>
      </c>
      <c r="D78" s="155">
        <f>SUM(D79:D81)</f>
        <v>1313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771</v>
      </c>
      <c r="H79" s="162">
        <f>H71+H74+H75+H76</f>
        <v>819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1313</v>
      </c>
      <c r="D81" s="151">
        <v>1313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1313</v>
      </c>
      <c r="D84" s="155">
        <f>D83+D82+D78</f>
        <v>1313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70</v>
      </c>
      <c r="D88" s="151">
        <v>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77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2406</v>
      </c>
      <c r="D93" s="155">
        <f>D64+D75+D84+D91+D92</f>
        <v>2269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12499</v>
      </c>
      <c r="D94" s="164">
        <f>D93+D55</f>
        <v>12692</v>
      </c>
      <c r="E94" s="449" t="s">
        <v>270</v>
      </c>
      <c r="F94" s="289" t="s">
        <v>271</v>
      </c>
      <c r="G94" s="165">
        <f>G36+G39+G55+G79</f>
        <v>12499</v>
      </c>
      <c r="H94" s="165">
        <f>H36+H39+H55+H79</f>
        <v>12692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1:8" ht="15">
      <c r="A99" s="169" t="s">
        <v>863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853</v>
      </c>
      <c r="D100" s="582"/>
      <c r="E100" s="582"/>
    </row>
    <row r="101" ht="25.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755905511811024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"АТЛАС ФИНАНС"АД</v>
      </c>
      <c r="C2" s="586"/>
      <c r="D2" s="586"/>
      <c r="E2" s="586"/>
      <c r="F2" s="588" t="s">
        <v>2</v>
      </c>
      <c r="G2" s="588"/>
      <c r="H2" s="526">
        <f>'справка №1-БАЛАНС'!H3</f>
        <v>201164403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41912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24</v>
      </c>
      <c r="D10" s="46">
        <v>39</v>
      </c>
      <c r="E10" s="298" t="s">
        <v>288</v>
      </c>
      <c r="F10" s="549" t="s">
        <v>289</v>
      </c>
      <c r="G10" s="550">
        <v>3</v>
      </c>
      <c r="H10" s="550">
        <v>2</v>
      </c>
    </row>
    <row r="11" spans="1:8" ht="12">
      <c r="A11" s="298" t="s">
        <v>290</v>
      </c>
      <c r="B11" s="299" t="s">
        <v>291</v>
      </c>
      <c r="C11" s="46">
        <v>13</v>
      </c>
      <c r="D11" s="46">
        <v>13</v>
      </c>
      <c r="E11" s="300" t="s">
        <v>292</v>
      </c>
      <c r="F11" s="549" t="s">
        <v>293</v>
      </c>
      <c r="G11" s="550">
        <v>22</v>
      </c>
      <c r="H11" s="550">
        <v>52</v>
      </c>
    </row>
    <row r="12" spans="1:8" ht="12">
      <c r="A12" s="298" t="s">
        <v>294</v>
      </c>
      <c r="B12" s="299" t="s">
        <v>295</v>
      </c>
      <c r="C12" s="46">
        <v>21</v>
      </c>
      <c r="D12" s="46">
        <v>60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5</v>
      </c>
      <c r="D13" s="46">
        <v>12</v>
      </c>
      <c r="E13" s="301" t="s">
        <v>51</v>
      </c>
      <c r="F13" s="551" t="s">
        <v>299</v>
      </c>
      <c r="G13" s="548">
        <f>SUM(G9:G12)</f>
        <v>25</v>
      </c>
      <c r="H13" s="548">
        <f>SUM(H9:H12)</f>
        <v>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84</v>
      </c>
      <c r="D19" s="49">
        <f>SUM(D9:D15)+D16</f>
        <v>129</v>
      </c>
      <c r="E19" s="304" t="s">
        <v>316</v>
      </c>
      <c r="F19" s="552" t="s">
        <v>317</v>
      </c>
      <c r="G19" s="550">
        <v>62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</v>
      </c>
      <c r="D22" s="46">
        <v>21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3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62</v>
      </c>
      <c r="H24" s="548">
        <f>SUM(H19:H23)</f>
        <v>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</v>
      </c>
      <c r="D26" s="49">
        <f>SUM(D22:D25)</f>
        <v>25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105</v>
      </c>
      <c r="D28" s="50">
        <f>D26+D19</f>
        <v>154</v>
      </c>
      <c r="E28" s="127" t="s">
        <v>338</v>
      </c>
      <c r="F28" s="554" t="s">
        <v>339</v>
      </c>
      <c r="G28" s="548">
        <f>G13+G15+G24</f>
        <v>87</v>
      </c>
      <c r="H28" s="548">
        <f>H13+H15+H24</f>
        <v>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</v>
      </c>
      <c r="H30" s="53">
        <f>IF((D28-H28)&gt;0,D28-H28,0)</f>
        <v>88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105</v>
      </c>
      <c r="D33" s="49">
        <f>D28+D31+D32</f>
        <v>154</v>
      </c>
      <c r="E33" s="127" t="s">
        <v>352</v>
      </c>
      <c r="F33" s="554" t="s">
        <v>353</v>
      </c>
      <c r="G33" s="53">
        <f>G32+G31+G28</f>
        <v>87</v>
      </c>
      <c r="H33" s="53">
        <f>H32+H31+H28</f>
        <v>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</v>
      </c>
      <c r="H34" s="548">
        <f>IF((D33-H33)&gt;0,D33-H33,0)</f>
        <v>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</v>
      </c>
      <c r="H39" s="559">
        <f>IF(H34&gt;0,IF(D35+H34&lt;0,0,D35+H34),IF(D34-D35&lt;0,D35-D34,0))</f>
        <v>88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</v>
      </c>
      <c r="H41" s="52">
        <f>IF(D39=0,IF(H39-H40&gt;0,H39-H40+D40,0),IF(D39-D40&lt;0,D40-D39+H40,0))</f>
        <v>88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105</v>
      </c>
      <c r="D42" s="53">
        <f>D33+D35+D39</f>
        <v>154</v>
      </c>
      <c r="E42" s="128" t="s">
        <v>379</v>
      </c>
      <c r="F42" s="129" t="s">
        <v>380</v>
      </c>
      <c r="G42" s="53">
        <f>G39+G33</f>
        <v>105</v>
      </c>
      <c r="H42" s="53">
        <f>H39+H33</f>
        <v>154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41940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863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25.5">
      <c r="A51" s="564"/>
      <c r="B51" s="560"/>
      <c r="C51" s="169" t="s">
        <v>871</v>
      </c>
      <c r="D51" s="169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692913385826772" right="0.2362204724409449" top="0.6692913385826772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"АТЛАС ФИНАНС"АД</v>
      </c>
      <c r="C4" s="541" t="s">
        <v>2</v>
      </c>
      <c r="D4" s="541">
        <f>'справка №1-БАЛАНС'!H3</f>
        <v>201164403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41912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29</v>
      </c>
      <c r="D10" s="54">
        <v>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-43</v>
      </c>
      <c r="D11" s="54">
        <v>-23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-3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</v>
      </c>
      <c r="D13" s="54">
        <v>-79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-64</v>
      </c>
      <c r="D19" s="54">
        <v>-82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-126</v>
      </c>
      <c r="D20" s="55">
        <f>SUM(D10:D19)</f>
        <v>-158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360</v>
      </c>
      <c r="D25" s="54">
        <v>12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285</v>
      </c>
      <c r="D32" s="55">
        <f>SUM(D22:D31)</f>
        <v>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-157</v>
      </c>
      <c r="D37" s="54">
        <v>-64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-168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-159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86</v>
      </c>
      <c r="D44" s="132">
        <v>262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77</v>
      </c>
      <c r="D45" s="55">
        <f>D44+D43</f>
        <v>103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77</v>
      </c>
      <c r="D46" s="56">
        <v>103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90"/>
      <c r="D52" s="590"/>
      <c r="G52" s="133"/>
      <c r="H52" s="133"/>
    </row>
    <row r="53" spans="1:8" ht="12.75">
      <c r="A53" s="318"/>
      <c r="B53" s="169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40" sqref="A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"АТЛАС ФИНАНС"АД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201164403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41912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9595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236</v>
      </c>
      <c r="J11" s="58">
        <f>'справка №1-БАЛАНС'!H29+'справка №1-БАЛАНС'!H32</f>
        <v>-81</v>
      </c>
      <c r="K11" s="60"/>
      <c r="L11" s="344">
        <f>SUM(C11:K11)</f>
        <v>9750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9595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236</v>
      </c>
      <c r="J15" s="61">
        <f t="shared" si="2"/>
        <v>-81</v>
      </c>
      <c r="K15" s="61">
        <f t="shared" si="2"/>
        <v>0</v>
      </c>
      <c r="L15" s="344">
        <f t="shared" si="1"/>
        <v>9750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9595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236</v>
      </c>
      <c r="J29" s="59">
        <f t="shared" si="6"/>
        <v>-99</v>
      </c>
      <c r="K29" s="59">
        <f t="shared" si="6"/>
        <v>0</v>
      </c>
      <c r="L29" s="344">
        <f t="shared" si="1"/>
        <v>9732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9595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236</v>
      </c>
      <c r="J32" s="59">
        <f t="shared" si="7"/>
        <v>-99</v>
      </c>
      <c r="K32" s="59">
        <f t="shared" si="7"/>
        <v>0</v>
      </c>
      <c r="L32" s="344">
        <f t="shared" si="1"/>
        <v>9732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576" t="s">
        <v>866</v>
      </c>
      <c r="D38" s="576"/>
      <c r="E38" s="538"/>
      <c r="F38" s="592"/>
      <c r="G38" s="592"/>
      <c r="H38" s="592"/>
      <c r="I38" s="592"/>
      <c r="J38" s="15" t="s">
        <v>855</v>
      </c>
      <c r="K38" s="15"/>
      <c r="L38" s="592"/>
      <c r="M38" s="592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169"/>
      <c r="K39" s="538" t="s">
        <v>871</v>
      </c>
      <c r="L39" s="169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K44" sqref="K44:N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"АТЛАС ФИНАНС"АД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201164403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41912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438</v>
      </c>
      <c r="E10" s="189"/>
      <c r="F10" s="189"/>
      <c r="G10" s="74">
        <f aca="true" t="shared" si="2" ref="G10:G39">D10+E10-F10</f>
        <v>438</v>
      </c>
      <c r="H10" s="65"/>
      <c r="I10" s="65"/>
      <c r="J10" s="74">
        <f aca="true" t="shared" si="3" ref="J10:J39">G10+H10-I10</f>
        <v>438</v>
      </c>
      <c r="K10" s="65">
        <v>62</v>
      </c>
      <c r="L10" s="65">
        <v>13</v>
      </c>
      <c r="M10" s="65"/>
      <c r="N10" s="74">
        <f aca="true" t="shared" si="4" ref="N10:N39">K10+L10-M10</f>
        <v>75</v>
      </c>
      <c r="O10" s="65"/>
      <c r="P10" s="65"/>
      <c r="Q10" s="74">
        <f t="shared" si="0"/>
        <v>75</v>
      </c>
      <c r="R10" s="74">
        <f t="shared" si="1"/>
        <v>363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</v>
      </c>
      <c r="E13" s="189"/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>
        <v>1</v>
      </c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439</v>
      </c>
      <c r="E17" s="194">
        <f>SUM(E9:E16)</f>
        <v>1</v>
      </c>
      <c r="F17" s="194">
        <f>SUM(F9:F16)</f>
        <v>0</v>
      </c>
      <c r="G17" s="74">
        <f t="shared" si="2"/>
        <v>440</v>
      </c>
      <c r="H17" s="75">
        <f>SUM(H9:H16)</f>
        <v>0</v>
      </c>
      <c r="I17" s="75">
        <f>SUM(I9:I16)</f>
        <v>0</v>
      </c>
      <c r="J17" s="74">
        <f t="shared" si="3"/>
        <v>440</v>
      </c>
      <c r="K17" s="75">
        <f>SUM(K9:K16)</f>
        <v>62</v>
      </c>
      <c r="L17" s="75">
        <f>SUM(L9:L16)</f>
        <v>13</v>
      </c>
      <c r="M17" s="75">
        <f>SUM(M9:M16)</f>
        <v>0</v>
      </c>
      <c r="N17" s="74">
        <f t="shared" si="4"/>
        <v>75</v>
      </c>
      <c r="O17" s="75">
        <f>SUM(O9:O16)</f>
        <v>0</v>
      </c>
      <c r="P17" s="75">
        <f>SUM(P9:P16)</f>
        <v>0</v>
      </c>
      <c r="Q17" s="74">
        <f t="shared" si="5"/>
        <v>75</v>
      </c>
      <c r="R17" s="74">
        <f t="shared" si="6"/>
        <v>365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369</v>
      </c>
      <c r="E18" s="187"/>
      <c r="F18" s="187"/>
      <c r="G18" s="74">
        <f t="shared" si="2"/>
        <v>369</v>
      </c>
      <c r="H18" s="63"/>
      <c r="I18" s="63"/>
      <c r="J18" s="74">
        <f t="shared" si="3"/>
        <v>369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</v>
      </c>
      <c r="E24" s="189"/>
      <c r="F24" s="189"/>
      <c r="G24" s="74">
        <f t="shared" si="2"/>
        <v>3</v>
      </c>
      <c r="H24" s="65"/>
      <c r="I24" s="65"/>
      <c r="J24" s="74">
        <f t="shared" si="3"/>
        <v>3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8374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8374</v>
      </c>
      <c r="H27" s="70">
        <f t="shared" si="8"/>
        <v>0</v>
      </c>
      <c r="I27" s="70">
        <f t="shared" si="8"/>
        <v>0</v>
      </c>
      <c r="J27" s="71">
        <f t="shared" si="3"/>
        <v>8374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8374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5599</v>
      </c>
      <c r="E30" s="189"/>
      <c r="F30" s="189"/>
      <c r="G30" s="74">
        <f t="shared" si="2"/>
        <v>5599</v>
      </c>
      <c r="H30" s="72"/>
      <c r="I30" s="72"/>
      <c r="J30" s="74">
        <f t="shared" si="3"/>
        <v>5599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5599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2775</v>
      </c>
      <c r="E31" s="189"/>
      <c r="F31" s="189"/>
      <c r="G31" s="74">
        <f t="shared" si="2"/>
        <v>2775</v>
      </c>
      <c r="H31" s="72"/>
      <c r="I31" s="72"/>
      <c r="J31" s="74">
        <f t="shared" si="3"/>
        <v>2775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2775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8374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8374</v>
      </c>
      <c r="H38" s="75">
        <f t="shared" si="12"/>
        <v>0</v>
      </c>
      <c r="I38" s="75">
        <f t="shared" si="12"/>
        <v>0</v>
      </c>
      <c r="J38" s="74">
        <f t="shared" si="3"/>
        <v>8374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8374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9185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9186</v>
      </c>
      <c r="H40" s="438">
        <f t="shared" si="13"/>
        <v>0</v>
      </c>
      <c r="I40" s="438">
        <f t="shared" si="13"/>
        <v>0</v>
      </c>
      <c r="J40" s="438">
        <f t="shared" si="13"/>
        <v>9186</v>
      </c>
      <c r="K40" s="438">
        <f t="shared" si="13"/>
        <v>62</v>
      </c>
      <c r="L40" s="438">
        <f t="shared" si="13"/>
        <v>13</v>
      </c>
      <c r="M40" s="438">
        <f t="shared" si="13"/>
        <v>0</v>
      </c>
      <c r="N40" s="438">
        <f t="shared" si="13"/>
        <v>75</v>
      </c>
      <c r="O40" s="438">
        <f t="shared" si="13"/>
        <v>0</v>
      </c>
      <c r="P40" s="438">
        <f t="shared" si="13"/>
        <v>0</v>
      </c>
      <c r="Q40" s="438">
        <f t="shared" si="13"/>
        <v>75</v>
      </c>
      <c r="R40" s="438">
        <f t="shared" si="13"/>
        <v>9111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13"/>
      <c r="L44" s="613"/>
      <c r="M44" s="613"/>
      <c r="N44" s="613"/>
      <c r="O44" s="602" t="s">
        <v>779</v>
      </c>
      <c r="P44" s="603"/>
      <c r="Q44" s="603"/>
      <c r="R44" s="603"/>
    </row>
    <row r="45" spans="1:18" ht="25.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169" t="s">
        <v>871</v>
      </c>
      <c r="P45" s="16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8" sqref="D9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"АТЛАС ФИНАНС"АД</v>
      </c>
      <c r="C3" s="621"/>
      <c r="D3" s="526" t="s">
        <v>2</v>
      </c>
      <c r="E3" s="107">
        <f>'справка №1-БАЛАНС'!H3</f>
        <v>201164403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41912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12</v>
      </c>
      <c r="D11" s="119">
        <f>SUM(D12:D14)</f>
        <v>0</v>
      </c>
      <c r="E11" s="120">
        <f>SUM(E12:E14)</f>
        <v>12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12</v>
      </c>
      <c r="D12" s="108">
        <v>0</v>
      </c>
      <c r="E12" s="120">
        <f aca="true" t="shared" si="0" ref="E12:E42">C12-D12</f>
        <v>12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970</v>
      </c>
      <c r="D15" s="108">
        <v>0</v>
      </c>
      <c r="E15" s="120">
        <f t="shared" si="0"/>
        <v>970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982</v>
      </c>
      <c r="D19" s="104">
        <f>D11+D15+D16</f>
        <v>0</v>
      </c>
      <c r="E19" s="118">
        <f>E11+E15+E16</f>
        <v>982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56</v>
      </c>
      <c r="D24" s="119">
        <f>SUM(D25:D27)</f>
        <v>56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24</v>
      </c>
      <c r="D25" s="108">
        <v>24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32</v>
      </c>
      <c r="D26" s="108">
        <v>32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54</v>
      </c>
      <c r="D28" s="108">
        <v>54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73</v>
      </c>
      <c r="D30" s="108">
        <v>73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811</v>
      </c>
      <c r="D38" s="105">
        <f>SUM(D39:D42)</f>
        <v>811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811</v>
      </c>
      <c r="D42" s="108">
        <v>811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999</v>
      </c>
      <c r="D43" s="104">
        <f>D24+D28+D29+D31+D30+D32+D33+D38</f>
        <v>999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1981</v>
      </c>
      <c r="D44" s="103">
        <f>D43+D21+D19+D9</f>
        <v>999</v>
      </c>
      <c r="E44" s="118">
        <f>E43+E21+E19+E9</f>
        <v>982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731</v>
      </c>
      <c r="D52" s="103">
        <f>SUM(D53:D55)</f>
        <v>0</v>
      </c>
      <c r="E52" s="119">
        <f>C52-D52</f>
        <v>731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731</v>
      </c>
      <c r="D53" s="108"/>
      <c r="E53" s="119">
        <f>C53-D53</f>
        <v>731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119</v>
      </c>
      <c r="D62" s="108"/>
      <c r="E62" s="119">
        <f t="shared" si="1"/>
        <v>119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850</v>
      </c>
      <c r="D66" s="103">
        <f>D52+D56+D61+D62+D63+D64</f>
        <v>0</v>
      </c>
      <c r="E66" s="119">
        <f t="shared" si="1"/>
        <v>850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1146</v>
      </c>
      <c r="D68" s="108"/>
      <c r="E68" s="119">
        <f t="shared" si="1"/>
        <v>1146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299</v>
      </c>
      <c r="D71" s="105">
        <f>SUM(D72:D74)</f>
        <v>299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297</v>
      </c>
      <c r="D74" s="108">
        <v>297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78</v>
      </c>
      <c r="D85" s="104">
        <f>SUM(D86:D90)+D94</f>
        <v>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69</v>
      </c>
      <c r="D86" s="108">
        <v>69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394</v>
      </c>
      <c r="D95" s="108">
        <v>394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771</v>
      </c>
      <c r="D96" s="104">
        <f>D85+D80+D75+D71+D95</f>
        <v>771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2767</v>
      </c>
      <c r="D97" s="104">
        <f>D96+D68+D66</f>
        <v>771</v>
      </c>
      <c r="E97" s="104">
        <f>E96+E68+E66</f>
        <v>1996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868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779</v>
      </c>
      <c r="D111" s="614"/>
      <c r="E111" s="614"/>
      <c r="F111" s="614"/>
    </row>
    <row r="112" spans="1:6" ht="12.75">
      <c r="A112" s="349"/>
      <c r="B112" s="388"/>
      <c r="C112" s="16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7">
      <selection activeCell="B31" sqref="B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"АТЛАС ФИНАНС"АД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201164403</v>
      </c>
    </row>
    <row r="5" spans="1:9" ht="15">
      <c r="A5" s="501" t="s">
        <v>5</v>
      </c>
      <c r="B5" s="623">
        <f>'справка №1-БАЛАНС'!E5</f>
        <v>41912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10174850</v>
      </c>
      <c r="D12" s="98"/>
      <c r="E12" s="98"/>
      <c r="F12" s="98">
        <v>8374</v>
      </c>
      <c r="G12" s="98"/>
      <c r="H12" s="98"/>
      <c r="I12" s="434">
        <f>F12+G12-H12</f>
        <v>8374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10174850</v>
      </c>
      <c r="D17" s="85">
        <f t="shared" si="1"/>
        <v>0</v>
      </c>
      <c r="E17" s="85">
        <f t="shared" si="1"/>
        <v>0</v>
      </c>
      <c r="F17" s="85">
        <f t="shared" si="1"/>
        <v>8374</v>
      </c>
      <c r="G17" s="85">
        <f t="shared" si="1"/>
        <v>0</v>
      </c>
      <c r="H17" s="85">
        <f t="shared" si="1"/>
        <v>0</v>
      </c>
      <c r="I17" s="434">
        <f t="shared" si="0"/>
        <v>8374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39074</v>
      </c>
      <c r="D19" s="98"/>
      <c r="E19" s="98"/>
      <c r="F19" s="98">
        <v>1313</v>
      </c>
      <c r="G19" s="98"/>
      <c r="H19" s="98"/>
      <c r="I19" s="434">
        <f t="shared" si="0"/>
        <v>1313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39074</v>
      </c>
      <c r="D26" s="85">
        <f t="shared" si="2"/>
        <v>0</v>
      </c>
      <c r="E26" s="85">
        <f t="shared" si="2"/>
        <v>0</v>
      </c>
      <c r="F26" s="85">
        <f t="shared" si="2"/>
        <v>1313</v>
      </c>
      <c r="G26" s="85">
        <f t="shared" si="2"/>
        <v>0</v>
      </c>
      <c r="H26" s="85">
        <f t="shared" si="2"/>
        <v>0</v>
      </c>
      <c r="I26" s="434">
        <f t="shared" si="0"/>
        <v>1313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817</v>
      </c>
      <c r="E30" s="624" t="s">
        <v>865</v>
      </c>
      <c r="F30" s="624"/>
      <c r="G30" s="624"/>
      <c r="H30" s="420" t="s">
        <v>779</v>
      </c>
      <c r="I30" s="624"/>
      <c r="J30" s="624"/>
    </row>
    <row r="31" spans="1:9" s="521" customFormat="1" ht="25.5">
      <c r="A31" s="349"/>
      <c r="B31" s="388"/>
      <c r="C31" s="349"/>
      <c r="D31" s="523"/>
      <c r="E31" s="523"/>
      <c r="F31" s="523"/>
      <c r="G31" s="523"/>
      <c r="H31" s="169" t="s">
        <v>871</v>
      </c>
      <c r="I31" s="169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D156" sqref="D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"АТЛАС ФИНАНС"АД</v>
      </c>
      <c r="C5" s="629"/>
      <c r="D5" s="629"/>
      <c r="E5" s="570" t="s">
        <v>2</v>
      </c>
      <c r="F5" s="451">
        <f>'справка №1-БАЛАНС'!H3</f>
        <v>201164403</v>
      </c>
    </row>
    <row r="6" spans="1:13" ht="15" customHeight="1">
      <c r="A6" s="27" t="s">
        <v>820</v>
      </c>
      <c r="B6" s="630" t="s">
        <v>869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862</v>
      </c>
      <c r="B46" s="40"/>
      <c r="C46" s="441">
        <v>5599</v>
      </c>
      <c r="D46" s="441">
        <v>35.8</v>
      </c>
      <c r="E46" s="441">
        <v>5599</v>
      </c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5599</v>
      </c>
      <c r="D61" s="429"/>
      <c r="E61" s="429">
        <f>SUM(E46:E60)</f>
        <v>5599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2775</v>
      </c>
      <c r="D63" s="441">
        <v>10.38</v>
      </c>
      <c r="E63" s="441">
        <v>2775</v>
      </c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2775</v>
      </c>
      <c r="D78" s="429"/>
      <c r="E78" s="429">
        <f>SUM(E63:E77)</f>
        <v>2775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8374</v>
      </c>
      <c r="D79" s="429"/>
      <c r="E79" s="429">
        <f>E78+E61+E44+E27</f>
        <v>8374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1" t="s">
        <v>866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854</v>
      </c>
      <c r="D153" s="631"/>
      <c r="E153" s="631"/>
      <c r="F153" s="631"/>
    </row>
    <row r="154" spans="3:5" ht="12.75">
      <c r="C154" s="169" t="s">
        <v>871</v>
      </c>
      <c r="D154" s="169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DIDO</cp:lastModifiedBy>
  <cp:lastPrinted>2014-10-31T10:43:27Z</cp:lastPrinted>
  <dcterms:created xsi:type="dcterms:W3CDTF">2000-06-29T12:02:40Z</dcterms:created>
  <dcterms:modified xsi:type="dcterms:W3CDTF">2014-10-31T10:57:48Z</dcterms:modified>
  <cp:category/>
  <cp:version/>
  <cp:contentType/>
  <cp:contentStatus/>
</cp:coreProperties>
</file>