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0800" windowHeight="792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<sst xmlns="http://schemas.openxmlformats.org/spreadsheetml/2006/main" count="1072" uniqueCount="877">
  <si>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</si>
  <si>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</si>
  <si>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</si>
  <si>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</si>
  <si>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</si>
  <si>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</si>
  <si>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</si>
  <si>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</si>
  <si>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</si>
  <si>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</si>
  <si>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</si>
  <si>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</si>
  <si>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</si>
  <si>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</si>
  <si>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</si>
  <si>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</si>
  <si>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</si>
  <si>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</si>
  <si>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</si>
  <si>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</si>
  <si>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</si>
  <si>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</si>
  <si>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</si>
  <si>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</si>
  <si>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</si>
  <si>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</si>
  <si>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</si>
  <si>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</si>
  <si>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</si>
  <si>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</si>
  <si>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</si>
  <si>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</si>
  <si>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</si>
  <si>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</si>
  <si>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</si>
  <si>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</si>
  <si>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</si>
  <si>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</si>
  <si>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</si>
  <si>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</si>
  <si>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</si>
  <si>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</si>
  <si>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</si>
  <si>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</si>
  <si>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</si>
  <si>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</si>
  <si>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</si>
  <si>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</si>
  <si>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</si>
  <si>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</si>
  <si>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</si>
  <si>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</si>
  <si>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</si>
  <si>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</si>
  <si>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</si>
  <si>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</si>
  <si>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</si>
  <si>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</si>
  <si>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</si>
  <si>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</si>
  <si>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</si>
  <si>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</si>
  <si>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</si>
  <si>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</si>
  <si>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</si>
  <si>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</si>
  <si>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</si>
  <si>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</si>
  <si>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</si>
  <si>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</si>
  <si>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</si>
  <si>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</si>
  <si>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</si>
  <si>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</si>
  <si>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</si>
  <si>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</si>
  <si>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</si>
  <si>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</si>
  <si>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</si>
  <si>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</si>
  <si>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</si>
  <si>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</si>
  <si>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</si>
  <si>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</si>
  <si>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</si>
  <si>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</si>
  <si>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</si>
  <si>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</si>
  <si>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</si>
  <si>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</si>
  <si>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</si>
  <si>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</si>
  <si>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</si>
  <si>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</si>
  <si>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</si>
  <si>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</si>
  <si>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</si>
  <si>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</si>
  <si>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</si>
  <si>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</si>
  <si>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</si>
  <si>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</si>
  <si>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</si>
  <si>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</si>
  <si>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</si>
  <si>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</si>
  <si>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</si>
  <si>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</si>
  <si>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</si>
  <si>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</si>
  <si>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</si>
  <si>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</si>
  <si>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</si>
  <si>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</si>
  <si>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</si>
  <si>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</si>
  <si>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</si>
  <si>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</si>
  <si>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</si>
  <si>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</si>
  <si>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</si>
  <si>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</si>
  <si>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</si>
  <si>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</si>
  <si>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</si>
  <si>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</si>
  <si>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</si>
  <si>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</si>
  <si>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</si>
  <si>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</si>
  <si>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</si>
  <si>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</si>
  <si>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</si>
  <si>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</si>
  <si>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</si>
  <si>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</si>
  <si>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</si>
  <si>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</si>
  <si>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</si>
  <si>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</si>
  <si>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</si>
  <si>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</si>
  <si>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</si>
  <si>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</si>
  <si>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</si>
  <si>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</si>
  <si>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</si>
  <si>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</si>
  <si>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</si>
  <si>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</si>
  <si>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</si>
  <si>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</si>
  <si>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</si>
  <si>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</si>
  <si>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</si>
  <si>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</si>
  <si>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</si>
  <si>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</si>
  <si>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</si>
  <si>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</si>
  <si>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</si>
  <si>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</si>
  <si>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</si>
  <si>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</si>
  <si>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</si>
  <si>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</si>
  <si>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</si>
  <si>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</si>
  <si>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</si>
  <si>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</si>
  <si>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</si>
  <si>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</si>
  <si>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</si>
  <si>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</si>
  <si>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</si>
  <si>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</si>
  <si>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</si>
  <si>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</si>
  <si>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</si>
  <si>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</si>
  <si>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</si>
  <si>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</si>
  <si>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</si>
  <si>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</si>
  <si>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</si>
  <si>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</si>
  <si>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</si>
  <si>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</si>
  <si>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</si>
  <si>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</si>
  <si>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</si>
  <si>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</si>
  <si>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</si>
  <si>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</si>
  <si>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</si>
  <si>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</si>
  <si>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</si>
  <si>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</si>
  <si>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</si>
  <si>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</si>
  <si>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</si>
  <si>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</si>
  <si>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</si>
  <si>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</si>
  <si>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</si>
  <si>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</si>
  <si>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</si>
  <si>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</si>
  <si>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</si>
  <si>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</si>
  <si>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</si>
  <si>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</si>
  <si>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</si>
  <si>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</si>
  <si>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</si>
  <si>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</si>
  <si>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</si>
  <si>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</si>
  <si>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</si>
  <si>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</si>
  <si>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</si>
  <si>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</si>
  <si>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</si>
  <si>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</si>
  <si>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</si>
  <si>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</si>
  <si>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</si>
  <si>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</si>
  <si>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</si>
  <si>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</si>
  <si>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</si>
  <si>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</si>
  <si>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</si>
  <si>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</si>
  <si>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</si>
  <si>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</si>
  <si>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</si>
  <si>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</si>
  <si>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</si>
  <si>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</si>
  <si>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</si>
  <si>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</si>
  <si>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</si>
  <si>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</si>
  <si>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</si>
  <si>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</si>
  <si>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</si>
  <si>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</si>
  <si>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</si>
  <si>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</si>
  <si>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</si>
  <si>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</si>
  <si>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</si>
  <si>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</si>
  <si>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</si>
  <si>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</si>
  <si>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</si>
  <si>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</si>
  <si>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</si>
  <si>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</si>
  <si>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</si>
  <si>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</si>
  <si>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</si>
  <si>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</si>
  <si>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</si>
  <si>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</si>
  <si>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</si>
  <si>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</si>
  <si>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</si>
  <si>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</si>
  <si>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</si>
  <si>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</si>
  <si>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</si>
  <si>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</si>
  <si>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</si>
  <si>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</si>
  <si>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</si>
  <si>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</si>
  <si>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</si>
  <si>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</si>
  <si>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</si>
  <si>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</si>
  <si>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</si>
  <si>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</si>
  <si>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</si>
  <si>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</si>
  <si>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</si>
  <si>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</si>
  <si>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</si>
  <si>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</si>
  <si>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</si>
  <si>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</si>
  <si>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</si>
  <si>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</si>
  <si>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</si>
  <si>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</si>
  <si>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</si>
  <si>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</si>
  <si>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</si>
  <si>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</si>
  <si>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</si>
  <si>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</si>
  <si>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</si>
  <si>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</si>
  <si>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</si>
  <si>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</si>
  <si>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</si>
  <si>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</si>
  <si>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</si>
  <si>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</si>
  <si>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</si>
  <si>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</si>
  <si>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</si>
  <si>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</si>
  <si>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</si>
  <si>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</si>
  <si>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</si>
  <si>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</si>
  <si>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</si>
  <si>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</si>
  <si>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</si>
  <si>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</si>
  <si>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</si>
  <si>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</si>
  <si>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</si>
  <si>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</si>
  <si>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</si>
  <si>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</si>
  <si>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</si>
  <si>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</si>
  <si>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</si>
  <si>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</si>
  <si>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</si>
  <si>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</si>
  <si>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</si>
  <si>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</si>
  <si>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</si>
  <si>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</si>
  <si>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</si>
  <si>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</si>
  <si>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</si>
  <si>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</si>
  <si>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</si>
  <si>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</si>
  <si>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</si>
  <si>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</si>
  <si>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</si>
  <si>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</si>
  <si>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</si>
  <si>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</si>
  <si>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</si>
  <si>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</si>
  <si>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</si>
  <si>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</si>
  <si>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</si>
  <si>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</si>
  <si>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</si>
  <si>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</si>
  <si>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</si>
  <si>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</si>
  <si>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</si>
  <si>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</si>
  <si>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</si>
  <si>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</si>
  <si>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</si>
  <si>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</si>
  <si>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</si>
  <si>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</si>
  <si>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</si>
  <si>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</si>
  <si>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</si>
  <si>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</si>
  <si>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</si>
  <si>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</si>
  <si>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</si>
  <si>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</si>
  <si>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</si>
  <si>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</si>
  <si>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</si>
  <si>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</si>
  <si>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</si>
  <si>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</si>
  <si>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</si>
  <si>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</si>
  <si>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</si>
  <si>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</si>
  <si>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</si>
  <si>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</si>
  <si>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</si>
  <si>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</si>
  <si>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</si>
  <si>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</si>
  <si>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</si>
  <si>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</si>
  <si>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</si>
  <si>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</si>
  <si>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</si>
  <si>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</si>
  <si>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</si>
  <si>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</si>
  <si>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</si>
  <si>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</si>
  <si>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</si>
  <si>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</si>
  <si>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</si>
  <si>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</si>
  <si>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</si>
  <si>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</si>
  <si>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</si>
  <si>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</si>
  <si>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</si>
  <si>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</si>
  <si>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</si>
  <si>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</si>
  <si>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</si>
  <si>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</si>
  <si>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</si>
  <si>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</si>
  <si>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</si>
  <si>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</si>
  <si>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</si>
  <si>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</si>
  <si>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</si>
  <si>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</si>
  <si>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</si>
  <si>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</si>
  <si>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</si>
  <si>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</si>
  <si>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</si>
  <si>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</si>
  <si>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</si>
  <si>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</si>
  <si>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</si>
  <si>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</si>
  <si>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</si>
  <si>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</si>
  <si>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</si>
  <si>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</si>
  <si>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</si>
  <si>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</si>
  <si>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</si>
  <si>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</si>
  <si>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</si>
  <si>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</si>
  <si>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</si>
  <si>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</si>
  <si>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</si>
  <si>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</si>
  <si>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</si>
  <si>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</si>
  <si>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</si>
  <si>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</si>
  <si>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</si>
  <si>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</si>
  <si>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</si>
  <si>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</si>
  <si>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</si>
  <si>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</si>
  <si>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</si>
  <si>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</si>
  <si>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</si>
  <si>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</si>
  <si>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</si>
  <si>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</si>
  <si>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</si>
  <si>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</si>
  <si>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</si>
  <si>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</si>
  <si>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</si>
  <si>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</si>
  <si>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</si>
  <si>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</si>
  <si>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</si>
  <si>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</si>
  <si>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</si>
  <si>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</si>
  <si>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</si>
  <si>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</si>
  <si>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</si>
  <si>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</si>
  <si>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</si>
  <si>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</si>
  <si>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</si>
  <si>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</si>
  <si>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</si>
  <si>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</si>
  <si>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</si>
  <si>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</si>
  <si>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</si>
  <si>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</si>
  <si>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</si>
  <si>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</si>
  <si>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</si>
  <si>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</si>
  <si>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</si>
  <si>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</si>
  <si>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</si>
  <si>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</si>
  <si>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</si>
  <si>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</si>
  <si>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</si>
  <si>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</si>
  <si>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</si>
  <si>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</si>
  <si>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</si>
  <si>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</si>
  <si>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</si>
  <si>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</si>
  <si>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</si>
  <si>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</si>
  <si>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</si>
  <si>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</si>
  <si>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</si>
  <si>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</si>
  <si>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</si>
  <si>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</si>
  <si>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</si>
  <si>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</si>
  <si>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</si>
  <si>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</si>
  <si>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</si>
  <si>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</si>
  <si>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</si>
  <si>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</si>
  <si>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</si>
  <si>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</si>
  <si>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</si>
  <si>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</si>
  <si>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</si>
  <si>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</si>
  <si>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</si>
  <si>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</si>
  <si>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</si>
  <si>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</si>
  <si>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</si>
  <si>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</si>
  <si>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</si>
  <si>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</si>
  <si>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</si>
  <si>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</si>
  <si>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</si>
  <si>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</si>
  <si>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</si>
  <si>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</si>
  <si>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</si>
  <si>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</si>
  <si>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</si>
  <si>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</si>
  <si>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</si>
  <si>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</si>
  <si>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</si>
  <si>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</si>
  <si>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</si>
  <si>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</si>
  <si>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</si>
  <si>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</si>
  <si>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</si>
  <si>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</si>
  <si>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</si>
  <si>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</si>
  <si>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</si>
  <si>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</si>
  <si>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</si>
  <si>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</si>
  <si>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</si>
  <si>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</si>
  <si>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</si>
  <si>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</si>
  <si>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</si>
  <si>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</si>
  <si>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</si>
  <si>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</si>
  <si>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</si>
  <si>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</si>
  <si>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</si>
  <si>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</si>
  <si>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</si>
  <si>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</si>
  <si>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</si>
  <si>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</si>
  <si>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</si>
  <si>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</si>
  <si>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</si>
  <si>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</si>
  <si>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</si>
  <si>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</si>
  <si>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</si>
  <si>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</si>
  <si>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</si>
  <si>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</si>
  <si>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</si>
  <si>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</si>
  <si>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</si>
  <si>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</si>
  <si>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</si>
  <si>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</si>
  <si>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</si>
  <si>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</si>
  <si>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</si>
  <si>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</si>
  <si>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</si>
  <si>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</si>
  <si>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</si>
  <si>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</si>
  <si>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</si>
  <si>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</si>
  <si>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</si>
  <si>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</si>
  <si>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</si>
  <si>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</si>
  <si>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</si>
  <si>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</si>
  <si>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</si>
  <si>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</si>
  <si>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</si>
  <si>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</si>
  <si>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</si>
  <si>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</si>
  <si>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</si>
  <si>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</si>
  <si>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</si>
  <si>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</si>
  <si>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</si>
  <si>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</si>
  <si>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</si>
  <si>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</si>
  <si>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</si>
  <si>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</si>
  <si>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</si>
  <si>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</si>
  <si>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</si>
  <si>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</si>
  <si>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</si>
  <si>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</si>
  <si>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</si>
  <si>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</si>
  <si>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</si>
  <si>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</si>
  <si>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</si>
  <si>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</si>
  <si>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</si>
  <si>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</si>
  <si>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</si>
  <si>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</si>
  <si>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</si>
  <si>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</si>
  <si>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</si>
  <si>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</si>
  <si>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</si>
  <si>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</si>
  <si>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</si>
  <si>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</si>
  <si>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</si>
  <si>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</si>
  <si>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</si>
  <si>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</si>
  <si>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</si>
  <si>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</si>
  <si>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</si>
  <si>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</si>
  <si>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</si>
  <si>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</si>
  <si>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</si>
  <si>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</si>
  <si>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</si>
  <si>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</si>
  <si>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</si>
  <si>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</si>
  <si>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</si>
  <si>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</si>
  <si>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</si>
  <si>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</si>
  <si>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</si>
  <si>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</si>
  <si>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</si>
  <si>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</si>
  <si>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</si>
  <si>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</si>
  <si>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</si>
  <si>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</si>
  <si>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</si>
  <si>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</si>
  <si>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</si>
  <si>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</si>
  <si>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</si>
  <si>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</si>
  <si>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</si>
  <si>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</si>
  <si>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</si>
  <si>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</si>
  <si>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</si>
  <si>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</si>
  <si>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</si>
  <si>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</si>
  <si>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</si>
  <si>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</si>
  <si>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</si>
  <si>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</si>
  <si>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</si>
  <si>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</si>
  <si>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</si>
  <si>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</si>
  <si>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</si>
  <si>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</si>
  <si>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</si>
  <si>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</si>
  <si>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</si>
  <si>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</si>
  <si>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</si>
  <si>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</si>
  <si>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</si>
  <si>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</si>
  <si>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</si>
  <si>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</si>
  <si>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</si>
  <si>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</si>
  <si>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</si>
  <si>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</si>
  <si>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</si>
  <si>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</si>
  <si>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</si>
  <si>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</si>
  <si>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</si>
  <si>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</si>
  <si>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</si>
  <si>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</si>
  <si>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</si>
  <si>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</si>
  <si>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</si>
  <si>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</si>
  <si>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</si>
  <si>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</si>
  <si>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</si>
  <si>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</si>
  <si>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</si>
  <si>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</si>
  <si>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</si>
  <si>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</si>
  <si>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</si>
  <si>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</si>
  <si>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</si>
  <si>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</si>
  <si>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</si>
  <si>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</si>
  <si>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</si>
  <si>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</si>
  <si>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</si>
  <si>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</si>
  <si>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</si>
  <si>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</si>
  <si>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</si>
  <si>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</si>
  <si>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</si>
  <si>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</si>
  <si>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</si>
  <si>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</si>
  <si>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</si>
  <si>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</si>
  <si>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</si>
  <si>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</si>
  <si>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</si>
  <si>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</si>
  <si>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</si>
  <si>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</si>
  <si>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</si>
  <si>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</si>
  <si>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</si>
  <si>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</si>
  <si>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</si>
  <si>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</si>
  <si>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</si>
  <si>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</si>
  <si>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</si>
  <si>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</si>
  <si>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</si>
  <si>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</si>
  <si>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</si>
  <si>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</si>
  <si>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</si>
  <si>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</si>
  <si>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</si>
  <si>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</si>
  <si>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</si>
  <si>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</si>
  <si>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</si>
  <si>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</si>
  <si>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</si>
  <si>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</si>
  <si>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</si>
  <si>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</si>
  <si>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</si>
  <si>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</si>
  <si>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</si>
  <si>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</si>
  <si>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</si>
  <si>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</si>
  <si>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</si>
  <si>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</si>
  <si>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</si>
  <si>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</si>
  <si>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</si>
  <si>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</si>
  <si>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</si>
  <si>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</si>
  <si>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</si>
  <si>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</si>
  <si>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</si>
  <si>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</si>
  <si>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</si>
  <si>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</si>
  <si>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</si>
  <si>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</si>
  <si>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</si>
  <si>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</si>
  <si>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</si>
  <si>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</si>
  <si>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</si>
  <si>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</si>
  <si>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</si>
  <si>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</si>
  <si>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</si>
  <si>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</si>
  <si>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</si>
  <si>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</si>
  <si>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</si>
  <si>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</si>
  <si>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</si>
  <si>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</si>
  <si>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</si>
  <si>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</si>
  <si>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</si>
  <si>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</si>
  <si>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</si>
  <si>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</si>
  <si>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</si>
  <si>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</si>
  <si>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</si>
  <si>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</si>
  <si>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</si>
  <si>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</si>
  <si>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</si>
  <si>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</si>
  <si>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</si>
  <si>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</si>
  <si>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</si>
  <si>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</si>
  <si>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</si>
  <si>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</si>
  <si>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</si>
  <si>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</si>
  <si>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</si>
  <si>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</si>
  <si>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</si>
  <si>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</si>
  <si>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</si>
  <si>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</si>
  <si>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</si>
  <si>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</si>
  <si>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</si>
  <si>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</si>
  <si>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</si>
  <si>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</si>
  <si>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Орфей клуб уелнес АД</t>
  </si>
  <si>
    <t>1. Оптела - лазерни технологии АД</t>
  </si>
  <si>
    <t>.</t>
  </si>
  <si>
    <t>Съставител: Акаунт Финанс Консулт ООД</t>
  </si>
  <si>
    <t xml:space="preserve"> Акаунт Финанс Консулт ООД</t>
  </si>
  <si>
    <t>Съставител:  Акаунт Финанс Консулт ООД</t>
  </si>
  <si>
    <t xml:space="preserve">                       Съставител:  Акаунт Финанс Консулт ООД</t>
  </si>
  <si>
    <t>Съставител:   Акаунт Финанс Консулт ООД</t>
  </si>
  <si>
    <t>към 30.09.2012 г</t>
  </si>
  <si>
    <t>/П.Троплев/</t>
  </si>
  <si>
    <t>"АТЛАС ФИНАНС "АД</t>
  </si>
  <si>
    <t>Дата на съставяне:27.01.2014</t>
  </si>
  <si>
    <t>Дата на съставяне:  27.01.2014</t>
  </si>
  <si>
    <t>Дата  на съставяне: 27.01.2014</t>
  </si>
  <si>
    <t>Дата на съставяне: 27.01.2014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</si>
</sst>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11" fillId="0" borderId="0" xfId="38" applyFont="1">
      <alignment/>
      <protection/>
    </xf>
    <xf numFmtId="0" fontId="11" fillId="0" borderId="0" xfId="37" applyFont="1" applyAlignment="1">
      <alignment horizontal="center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49" fontId="16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1" fontId="11" fillId="33" borderId="14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5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4" applyFont="1" applyAlignment="1">
      <alignment/>
      <protection/>
    </xf>
    <xf numFmtId="0" fontId="10" fillId="0" borderId="0" xfId="38" applyFont="1">
      <alignment/>
      <protection/>
    </xf>
    <xf numFmtId="0" fontId="11" fillId="0" borderId="0" xfId="38" applyFont="1" applyBorder="1">
      <alignment/>
      <protection/>
    </xf>
    <xf numFmtId="49" fontId="11" fillId="0" borderId="0" xfId="38" applyNumberFormat="1" applyFont="1">
      <alignment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0" xfId="34" applyFont="1" applyBorder="1" applyProtection="1">
      <alignment/>
      <protection/>
    </xf>
    <xf numFmtId="0" fontId="11" fillId="0" borderId="0" xfId="38" applyFont="1" applyProtection="1">
      <alignment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0" fontId="10" fillId="0" borderId="0" xfId="38" applyFont="1" applyAlignment="1" applyProtection="1">
      <alignment horizontal="center"/>
      <protection/>
    </xf>
    <xf numFmtId="0" fontId="10" fillId="0" borderId="10" xfId="34" applyFont="1" applyBorder="1" applyAlignment="1" applyProtection="1">
      <alignment horizontal="center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0" fontId="10" fillId="0" borderId="10" xfId="34" applyFont="1" applyBorder="1" applyProtection="1">
      <alignment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1" fontId="10" fillId="34" borderId="16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11" fillId="0" borderId="0" xfId="34" applyFont="1" applyAlignment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6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170" fontId="10" fillId="0" borderId="10" xfId="50" applyFont="1" applyBorder="1" applyAlignment="1" applyProtection="1">
      <alignment horizontal="centerContinuous" vertical="center" wrapText="1"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7" xfId="39" applyNumberFormat="1" applyFont="1" applyFill="1" applyBorder="1" applyAlignment="1" applyProtection="1">
      <alignment vertical="top" wrapText="1"/>
      <protection locked="0"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7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7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9" fillId="36" borderId="19" xfId="39" applyNumberFormat="1" applyFont="1" applyFill="1" applyBorder="1" applyAlignment="1" applyProtection="1">
      <alignment vertical="top" wrapText="1"/>
      <protection locked="0"/>
    </xf>
    <xf numFmtId="1" fontId="9" fillId="0" borderId="20" xfId="39" applyNumberFormat="1" applyFont="1" applyBorder="1" applyAlignment="1" applyProtection="1">
      <alignment vertical="top" wrapText="1"/>
      <protection/>
    </xf>
    <xf numFmtId="1" fontId="7" fillId="0" borderId="17" xfId="39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39" applyNumberFormat="1" applyFont="1" applyBorder="1" applyAlignment="1" applyProtection="1">
      <alignment vertical="top" wrapText="1"/>
      <protection/>
    </xf>
    <xf numFmtId="1" fontId="9" fillId="0" borderId="22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15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3" borderId="16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2" fillId="0" borderId="13" xfId="37" applyFont="1" applyBorder="1" applyAlignment="1" applyProtection="1">
      <alignment vertical="center" wrapText="1"/>
      <protection/>
    </xf>
    <xf numFmtId="1" fontId="11" fillId="33" borderId="14" xfId="37" applyNumberFormat="1" applyFont="1" applyFill="1" applyBorder="1" applyAlignment="1" applyProtection="1">
      <alignment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8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15" xfId="42" applyFont="1" applyFill="1" applyBorder="1" applyAlignment="1">
      <alignment horizontal="center" vertical="center" wrapText="1"/>
      <protection/>
    </xf>
    <xf numFmtId="0" fontId="10" fillId="0" borderId="18" xfId="42" applyFont="1" applyBorder="1" applyAlignment="1">
      <alignment horizontal="centerContinuous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8" xfId="42" applyNumberFormat="1" applyFont="1" applyBorder="1" applyAlignment="1">
      <alignment horizontal="centerContinuous" vertical="center" wrapText="1"/>
      <protection/>
    </xf>
    <xf numFmtId="49" fontId="10" fillId="0" borderId="19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7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8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8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8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8" fillId="37" borderId="10" xfId="39" applyNumberFormat="1" applyFont="1" applyFill="1" applyBorder="1" applyAlignment="1" applyProtection="1">
      <alignment vertical="top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8" xfId="39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39" applyNumberFormat="1" applyFont="1" applyFill="1" applyBorder="1" applyAlignment="1" applyProtection="1">
      <alignment vertical="top"/>
      <protection/>
    </xf>
    <xf numFmtId="0" fontId="18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8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vertical="center" wrapText="1"/>
      <protection/>
    </xf>
    <xf numFmtId="0" fontId="12" fillId="0" borderId="16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6" xfId="41" applyNumberFormat="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7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0" fontId="11" fillId="0" borderId="10" xfId="37" applyFont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3" borderId="16" xfId="37" applyNumberFormat="1" applyFont="1" applyFill="1" applyBorder="1" applyAlignment="1" applyProtection="1">
      <alignment horizontal="center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6" xfId="34" applyNumberFormat="1" applyFont="1" applyBorder="1" applyAlignment="1" applyProtection="1">
      <alignment horizontal="centerContinuous" vertical="center" wrapText="1"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6" xfId="34" applyFont="1" applyBorder="1" applyAlignment="1" applyProtection="1">
      <alignment horizontal="centerContinuous" vertical="center" wrapText="1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49" fontId="16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0" fontId="10" fillId="0" borderId="0" xfId="35" applyFont="1" applyProtection="1">
      <alignment/>
      <protection locked="0"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5" fillId="0" borderId="10" xfId="36" applyNumberFormat="1" applyFont="1" applyBorder="1" applyAlignment="1">
      <alignment horizontal="right" vertical="center" wrapText="1"/>
      <protection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17" fillId="37" borderId="10" xfId="39" applyFont="1" applyFill="1" applyBorder="1" applyAlignment="1" applyProtection="1">
      <alignment horizontal="lef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0" fontId="17" fillId="37" borderId="37" xfId="39" applyFont="1" applyFill="1" applyBorder="1" applyAlignment="1" applyProtection="1">
      <alignment horizontal="left"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17" fillId="37" borderId="38" xfId="39" applyFont="1" applyFill="1" applyBorder="1" applyAlignment="1" applyProtection="1">
      <alignment vertical="top" wrapText="1"/>
      <protection/>
    </xf>
    <xf numFmtId="49" fontId="17" fillId="37" borderId="36" xfId="39" applyNumberFormat="1" applyFont="1" applyFill="1" applyBorder="1" applyAlignment="1" applyProtection="1">
      <alignment vertical="center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10" fillId="0" borderId="0" xfId="42" applyFont="1" applyBorder="1" applyAlignment="1" applyProtection="1">
      <alignment horizontal="left" wrapText="1"/>
      <protection locked="0"/>
    </xf>
    <xf numFmtId="0" fontId="11" fillId="0" borderId="10" xfId="37" applyFont="1" applyBorder="1" applyAlignment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3" fontId="10" fillId="0" borderId="16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0" fontId="10" fillId="0" borderId="0" xfId="37" applyFont="1" applyAlignment="1" applyProtection="1">
      <alignment horizontal="left" vertical="justify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0" fontId="5" fillId="0" borderId="0" xfId="37" applyNumberFormat="1" applyFont="1" applyAlignment="1">
      <alignment horizontal="center"/>
      <protection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5" fillId="0" borderId="0" xfId="38" applyFont="1" applyProtection="1">
      <alignment/>
      <protection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0" fontId="10" fillId="0" borderId="0" xfId="38" applyFont="1" applyBorder="1" applyProtection="1">
      <alignment/>
      <protection/>
    </xf>
    <xf numFmtId="0" fontId="11" fillId="0" borderId="0" xfId="38" applyFont="1" applyBorder="1" applyProtection="1">
      <alignment/>
      <protection/>
    </xf>
    <xf numFmtId="1" fontId="11" fillId="0" borderId="0" xfId="38" applyNumberFormat="1" applyFont="1" applyBorder="1" applyProtection="1">
      <alignment/>
      <protection/>
    </xf>
    <xf numFmtId="1" fontId="11" fillId="0" borderId="0" xfId="38" applyNumberFormat="1" applyFont="1" applyProtection="1">
      <alignment/>
      <protection locked="0"/>
    </xf>
    <xf numFmtId="49" fontId="11" fillId="0" borderId="0" xfId="38" applyNumberFormat="1" applyFont="1" applyProtection="1">
      <alignment/>
      <protection/>
    </xf>
    <xf numFmtId="1" fontId="11" fillId="0" borderId="0" xfId="38" applyNumberFormat="1" applyFont="1" applyProtection="1">
      <alignment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38" applyFont="1" applyAlignment="1">
      <alignment horizontal="center"/>
      <protection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0" xfId="38" applyFont="1" applyAlignment="1" applyProtection="1">
      <alignment/>
      <protection locked="0"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9" fillId="0" borderId="0" xfId="41" applyFont="1" applyBorder="1" applyAlignment="1">
      <alignment vertical="center" wrapText="1"/>
      <protection/>
    </xf>
    <xf numFmtId="0" fontId="19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49" fontId="20" fillId="0" borderId="10" xfId="41" applyNumberFormat="1" applyFont="1" applyBorder="1" applyAlignment="1" applyProtection="1">
      <alignment horizontal="centerContinuous" wrapText="1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42" applyFont="1" applyBorder="1" applyAlignment="1" applyProtection="1">
      <alignment horizontal="left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8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0" fontId="10" fillId="0" borderId="0" xfId="34" applyFont="1" applyBorder="1" applyAlignment="1" applyProtection="1">
      <alignment horizontal="left" vertical="center" wrapText="1"/>
      <protection locked="0"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center" vertical="center" wrapText="1"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7" applyNumberFormat="1" applyFont="1" applyAlignment="1" applyProtection="1">
      <alignment horizontal="left" vertical="justify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7" applyFont="1" applyAlignment="1" applyProtection="1">
      <alignment horizontal="right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89" sqref="E8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872</v>
      </c>
      <c r="F3" s="217" t="s">
        <v>2</v>
      </c>
      <c r="G3" s="172"/>
      <c r="H3" s="461">
        <v>201164403</v>
      </c>
    </row>
    <row r="4" spans="1:8" ht="15">
      <c r="A4" s="577" t="s">
        <v>3</v>
      </c>
      <c r="B4" s="583"/>
      <c r="C4" s="583"/>
      <c r="D4" s="583"/>
      <c r="E4" s="504" t="s">
        <v>861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>
        <v>41639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9595</v>
      </c>
      <c r="H11" s="152">
        <v>9595</v>
      </c>
    </row>
    <row r="12" spans="1:8" ht="15">
      <c r="A12" s="235" t="s">
        <v>24</v>
      </c>
      <c r="B12" s="241" t="s">
        <v>25</v>
      </c>
      <c r="C12" s="151">
        <v>376</v>
      </c>
      <c r="D12" s="151">
        <v>394</v>
      </c>
      <c r="E12" s="237" t="s">
        <v>26</v>
      </c>
      <c r="F12" s="242" t="s">
        <v>27</v>
      </c>
      <c r="G12" s="153">
        <v>9595</v>
      </c>
      <c r="H12" s="153">
        <v>9595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9595</v>
      </c>
      <c r="H17" s="154">
        <f>H11+H14+H15+H16</f>
        <v>9595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377</v>
      </c>
      <c r="D19" s="155">
        <f>SUM(D11:D18)</f>
        <v>394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369</v>
      </c>
      <c r="D20" s="151">
        <v>369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131</v>
      </c>
      <c r="H27" s="154">
        <f>SUM(H28:H30)</f>
        <v>-2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212</v>
      </c>
      <c r="H28" s="152">
        <v>79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</v>
      </c>
      <c r="H29" s="316">
        <v>-81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33</v>
      </c>
      <c r="H31" s="152">
        <v>133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164</v>
      </c>
      <c r="H33" s="154">
        <f>H27+H31+H32</f>
        <v>131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8374</v>
      </c>
      <c r="D34" s="155">
        <f>SUM(D35:D38)</f>
        <v>8374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9759</v>
      </c>
      <c r="H36" s="154">
        <f>H25+H17+H33</f>
        <v>9726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5599</v>
      </c>
      <c r="D37" s="151">
        <v>5599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2775</v>
      </c>
      <c r="D38" s="151">
        <v>2775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731</v>
      </c>
      <c r="H43" s="152">
        <v>781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8374</v>
      </c>
      <c r="D45" s="155">
        <f>D34+D39+D44</f>
        <v>8374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246</v>
      </c>
      <c r="H46" s="152">
        <v>246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1300</v>
      </c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977</v>
      </c>
      <c r="H49" s="154">
        <f>SUM(H43:H48)</f>
        <v>1027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1300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1146</v>
      </c>
      <c r="H53" s="152">
        <v>1146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10423</v>
      </c>
      <c r="D55" s="155">
        <f>D19+D20+D21+D27+D32+D45+D51+D53+D54</f>
        <v>9137</v>
      </c>
      <c r="E55" s="237" t="s">
        <v>172</v>
      </c>
      <c r="F55" s="261" t="s">
        <v>173</v>
      </c>
      <c r="G55" s="154">
        <f>G49+G51+G52+G53+G54</f>
        <v>2123</v>
      </c>
      <c r="H55" s="154">
        <f>H49+H51+H52+H53+H54</f>
        <v>2173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9</v>
      </c>
      <c r="D59" s="151">
        <v>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10</v>
      </c>
      <c r="D60" s="151">
        <v>10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417</v>
      </c>
      <c r="H61" s="154">
        <f>SUM(H62:H68)</f>
        <v>456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294</v>
      </c>
      <c r="H62" s="152">
        <v>392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99</v>
      </c>
      <c r="H63" s="152">
        <v>42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19</v>
      </c>
      <c r="D64" s="155">
        <f>SUM(D58:D63)</f>
        <v>19</v>
      </c>
      <c r="E64" s="237" t="s">
        <v>200</v>
      </c>
      <c r="F64" s="242" t="s">
        <v>201</v>
      </c>
      <c r="G64" s="152">
        <v>4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14</v>
      </c>
    </row>
    <row r="67" spans="1:8" ht="15">
      <c r="A67" s="235" t="s">
        <v>207</v>
      </c>
      <c r="B67" s="241" t="s">
        <v>208</v>
      </c>
      <c r="C67" s="151">
        <v>45</v>
      </c>
      <c r="D67" s="151">
        <v>63</v>
      </c>
      <c r="E67" s="237" t="s">
        <v>209</v>
      </c>
      <c r="F67" s="242" t="s">
        <v>210</v>
      </c>
      <c r="G67" s="152">
        <v>6</v>
      </c>
      <c r="H67" s="152">
        <v>3</v>
      </c>
    </row>
    <row r="68" spans="1:8" ht="15">
      <c r="A68" s="235" t="s">
        <v>211</v>
      </c>
      <c r="B68" s="241" t="s">
        <v>212</v>
      </c>
      <c r="C68" s="151">
        <v>52</v>
      </c>
      <c r="D68" s="151">
        <v>1327</v>
      </c>
      <c r="E68" s="237" t="s">
        <v>213</v>
      </c>
      <c r="F68" s="242" t="s">
        <v>214</v>
      </c>
      <c r="G68" s="152">
        <v>10</v>
      </c>
      <c r="H68" s="152">
        <v>3</v>
      </c>
    </row>
    <row r="69" spans="1:8" ht="15">
      <c r="A69" s="235" t="s">
        <v>215</v>
      </c>
      <c r="B69" s="241" t="s">
        <v>216</v>
      </c>
      <c r="C69" s="151">
        <v>2</v>
      </c>
      <c r="D69" s="151"/>
      <c r="E69" s="251" t="s">
        <v>78</v>
      </c>
      <c r="F69" s="242" t="s">
        <v>217</v>
      </c>
      <c r="G69" s="152">
        <v>399</v>
      </c>
      <c r="H69" s="152">
        <v>110</v>
      </c>
    </row>
    <row r="70" spans="1:8" ht="15">
      <c r="A70" s="235" t="s">
        <v>218</v>
      </c>
      <c r="B70" s="241" t="s">
        <v>219</v>
      </c>
      <c r="C70" s="151">
        <v>60</v>
      </c>
      <c r="D70" s="151">
        <v>70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816</v>
      </c>
      <c r="H71" s="161">
        <f>H59+H60+H61+H69+H70</f>
        <v>566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698</v>
      </c>
      <c r="D74" s="151">
        <v>274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857</v>
      </c>
      <c r="D75" s="155">
        <f>SUM(D67:D74)</f>
        <v>1734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1313</v>
      </c>
      <c r="D78" s="155">
        <f>SUM(D79:D81)</f>
        <v>1313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816</v>
      </c>
      <c r="H79" s="162">
        <f>H71+H74+H75+H76</f>
        <v>566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1313</v>
      </c>
      <c r="D81" s="151">
        <v>1313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1313</v>
      </c>
      <c r="D84" s="155">
        <f>D83+D82+D78</f>
        <v>1313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85</v>
      </c>
      <c r="D88" s="151">
        <v>260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86</v>
      </c>
      <c r="D91" s="155">
        <f>SUM(D87:D90)</f>
        <v>262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2275</v>
      </c>
      <c r="D93" s="155">
        <f>D64+D75+D84+D91+D92</f>
        <v>3328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12698</v>
      </c>
      <c r="D94" s="164">
        <f>D93+D55</f>
        <v>12465</v>
      </c>
      <c r="E94" s="449" t="s">
        <v>270</v>
      </c>
      <c r="F94" s="289" t="s">
        <v>271</v>
      </c>
      <c r="G94" s="165">
        <f>G36+G39+G55+G79</f>
        <v>12698</v>
      </c>
      <c r="H94" s="165">
        <f>H36+H39+H55+H79</f>
        <v>12465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1" t="s">
        <v>865</v>
      </c>
      <c r="D98" s="581"/>
      <c r="E98" s="581"/>
      <c r="F98" s="170"/>
      <c r="G98" s="171"/>
      <c r="H98" s="172"/>
      <c r="M98" s="157"/>
    </row>
    <row r="99" spans="1:8" ht="15">
      <c r="A99" s="169" t="s">
        <v>864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853</v>
      </c>
      <c r="D100" s="582"/>
      <c r="E100" s="582"/>
    </row>
    <row r="101" ht="12.75">
      <c r="D101" s="169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2755905511811024" header="0.15748031496062992" footer="0.15748031496062992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D26" sqref="D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"АТЛАС ФИНАНС "АД</v>
      </c>
      <c r="C2" s="586"/>
      <c r="D2" s="586"/>
      <c r="E2" s="586"/>
      <c r="F2" s="588" t="s">
        <v>2</v>
      </c>
      <c r="G2" s="588"/>
      <c r="H2" s="526">
        <f>'справка №1-БАЛАНС'!H3</f>
        <v>201164403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>
        <f>'справка №1-БАЛАНС'!E5</f>
        <v>41639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</v>
      </c>
      <c r="D9" s="46">
        <v>11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53</v>
      </c>
      <c r="D10" s="46">
        <v>60</v>
      </c>
      <c r="E10" s="298" t="s">
        <v>288</v>
      </c>
      <c r="F10" s="549" t="s">
        <v>289</v>
      </c>
      <c r="G10" s="550">
        <v>2</v>
      </c>
      <c r="H10" s="550"/>
    </row>
    <row r="11" spans="1:8" ht="12">
      <c r="A11" s="298" t="s">
        <v>290</v>
      </c>
      <c r="B11" s="299" t="s">
        <v>291</v>
      </c>
      <c r="C11" s="46">
        <v>18</v>
      </c>
      <c r="D11" s="46">
        <v>17</v>
      </c>
      <c r="E11" s="300" t="s">
        <v>292</v>
      </c>
      <c r="F11" s="549" t="s">
        <v>293</v>
      </c>
      <c r="G11" s="550">
        <v>63</v>
      </c>
      <c r="H11" s="550">
        <v>82</v>
      </c>
    </row>
    <row r="12" spans="1:8" ht="12">
      <c r="A12" s="298" t="s">
        <v>294</v>
      </c>
      <c r="B12" s="299" t="s">
        <v>295</v>
      </c>
      <c r="C12" s="46">
        <v>72</v>
      </c>
      <c r="D12" s="46">
        <v>55</v>
      </c>
      <c r="E12" s="300" t="s">
        <v>78</v>
      </c>
      <c r="F12" s="549" t="s">
        <v>296</v>
      </c>
      <c r="G12" s="550">
        <v>67</v>
      </c>
      <c r="H12" s="550">
        <v>235</v>
      </c>
    </row>
    <row r="13" spans="1:18" ht="12">
      <c r="A13" s="298" t="s">
        <v>297</v>
      </c>
      <c r="B13" s="299" t="s">
        <v>298</v>
      </c>
      <c r="C13" s="46">
        <v>14</v>
      </c>
      <c r="D13" s="46">
        <v>11</v>
      </c>
      <c r="E13" s="301" t="s">
        <v>51</v>
      </c>
      <c r="F13" s="551" t="s">
        <v>299</v>
      </c>
      <c r="G13" s="548">
        <f>SUM(G9:G12)</f>
        <v>132</v>
      </c>
      <c r="H13" s="548">
        <f>SUM(H9:H12)</f>
        <v>317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</v>
      </c>
      <c r="D14" s="46">
        <v>251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</v>
      </c>
      <c r="D16" s="47">
        <v>17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166</v>
      </c>
      <c r="D19" s="49">
        <f>SUM(D9:D15)+D16</f>
        <v>422</v>
      </c>
      <c r="E19" s="304" t="s">
        <v>316</v>
      </c>
      <c r="F19" s="552" t="s">
        <v>317</v>
      </c>
      <c r="G19" s="550">
        <v>104</v>
      </c>
      <c r="H19" s="550">
        <v>24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2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5</v>
      </c>
      <c r="H21" s="550">
        <v>62</v>
      </c>
    </row>
    <row r="22" spans="1:8" ht="24">
      <c r="A22" s="304" t="s">
        <v>323</v>
      </c>
      <c r="B22" s="305" t="s">
        <v>324</v>
      </c>
      <c r="C22" s="46">
        <v>28</v>
      </c>
      <c r="D22" s="46">
        <v>28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13</v>
      </c>
      <c r="D23" s="46">
        <v>10</v>
      </c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109</v>
      </c>
      <c r="H24" s="548">
        <f>SUM(H19:H23)</f>
        <v>88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42</v>
      </c>
      <c r="D26" s="49">
        <f>SUM(D22:D25)</f>
        <v>39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208</v>
      </c>
      <c r="D28" s="50">
        <f>D26+D19</f>
        <v>461</v>
      </c>
      <c r="E28" s="127" t="s">
        <v>338</v>
      </c>
      <c r="F28" s="554" t="s">
        <v>339</v>
      </c>
      <c r="G28" s="548">
        <f>G13+G15+G24</f>
        <v>241</v>
      </c>
      <c r="H28" s="548">
        <f>H13+H15+H24</f>
        <v>405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33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56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208</v>
      </c>
      <c r="D33" s="49">
        <f>D28+D31+D32</f>
        <v>461</v>
      </c>
      <c r="E33" s="127" t="s">
        <v>352</v>
      </c>
      <c r="F33" s="554" t="s">
        <v>353</v>
      </c>
      <c r="G33" s="53">
        <f>G32+G31+G28</f>
        <v>241</v>
      </c>
      <c r="H33" s="53">
        <f>H32+H31+H28</f>
        <v>405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33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56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-189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-189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33</v>
      </c>
      <c r="D39" s="460">
        <f>+IF((H33-D33-D35)&gt;0,H33-D33-D35,0)</f>
        <v>133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33</v>
      </c>
      <c r="D41" s="52">
        <f>IF(H39=0,IF(D39-D40&gt;0,D39-D40+H40,0),IF(H39-H40&lt;0,H40-H39+D39,0))</f>
        <v>133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241</v>
      </c>
      <c r="D42" s="53">
        <f>D33+D35+D39</f>
        <v>405</v>
      </c>
      <c r="E42" s="128" t="s">
        <v>379</v>
      </c>
      <c r="F42" s="129" t="s">
        <v>380</v>
      </c>
      <c r="G42" s="53">
        <f>G39+G33</f>
        <v>241</v>
      </c>
      <c r="H42" s="53">
        <f>H39+H33</f>
        <v>405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859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41666</v>
      </c>
      <c r="C48" s="427" t="s">
        <v>381</v>
      </c>
      <c r="D48" s="584" t="s">
        <v>866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 t="s">
        <v>864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/>
      <c r="E50" s="585"/>
      <c r="F50" s="585"/>
      <c r="G50" s="585"/>
      <c r="H50" s="585"/>
    </row>
    <row r="51" spans="1:8" ht="12.75">
      <c r="A51" s="564"/>
      <c r="B51" s="560"/>
      <c r="C51" s="169" t="s">
        <v>871</v>
      </c>
      <c r="D51" s="169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692913385826772" right="0.2362204724409449" top="0.6692913385826772" bottom="0.4330708661417323" header="0.35433070866141736" footer="0.2362204724409449"/>
  <pageSetup fitToHeight="1" fitToWidth="1"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17" sqref="C1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"АТЛАС ФИНАНС "АД</v>
      </c>
      <c r="C4" s="541" t="s">
        <v>2</v>
      </c>
      <c r="D4" s="541">
        <f>'справка №1-БАЛАНС'!H3</f>
        <v>201164403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41639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41</v>
      </c>
      <c r="D10" s="54">
        <v>29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-31</v>
      </c>
      <c r="D11" s="54">
        <v>-35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-8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-96</v>
      </c>
      <c r="D13" s="54">
        <v>-98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</v>
      </c>
      <c r="D14" s="54">
        <v>-17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6</v>
      </c>
      <c r="D16" s="54">
        <v>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-102</v>
      </c>
      <c r="D19" s="54">
        <v>210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-194</v>
      </c>
      <c r="D20" s="55">
        <f>SUM(D10:D19)</f>
        <v>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235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>
        <v>-136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13</v>
      </c>
      <c r="D25" s="54">
        <v>28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>
        <v>2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13</v>
      </c>
      <c r="D32" s="55">
        <f>SUM(D22:D31)</f>
        <v>120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70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-64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5</v>
      </c>
      <c r="D42" s="55">
        <f>SUM(D34:D41)</f>
        <v>-2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-176</v>
      </c>
      <c r="D43" s="55">
        <f>D42+D32+D20</f>
        <v>212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262</v>
      </c>
      <c r="D44" s="132">
        <v>50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86</v>
      </c>
      <c r="D45" s="55">
        <f>D44+D43</f>
        <v>262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86</v>
      </c>
      <c r="D46" s="56">
        <v>262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90"/>
      <c r="D52" s="590"/>
      <c r="G52" s="133"/>
      <c r="H52" s="133"/>
    </row>
    <row r="53" spans="1:8" ht="12.75">
      <c r="A53" s="318"/>
      <c r="B53" s="169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91" right="0.59" top="0.59" bottom="0.46" header="0.48" footer="0.3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B43" sqref="B4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"АТЛАС ФИНАНС "АД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201164403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>
        <f>'справка №1-БАЛАНС'!E5</f>
        <v>41639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9595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212</v>
      </c>
      <c r="J11" s="58">
        <f>'справка №1-БАЛАНС'!H29+'справка №1-БАЛАНС'!H32</f>
        <v>-81</v>
      </c>
      <c r="K11" s="60"/>
      <c r="L11" s="344">
        <f>SUM(C11:K11)</f>
        <v>9726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9595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212</v>
      </c>
      <c r="J15" s="61">
        <f t="shared" si="2"/>
        <v>-81</v>
      </c>
      <c r="K15" s="61">
        <f t="shared" si="2"/>
        <v>0</v>
      </c>
      <c r="L15" s="344">
        <f t="shared" si="1"/>
        <v>9726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33</v>
      </c>
      <c r="J16" s="345">
        <f>+'справка №1-БАЛАНС'!G32</f>
        <v>0</v>
      </c>
      <c r="K16" s="60"/>
      <c r="L16" s="344">
        <f t="shared" si="1"/>
        <v>33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9595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245</v>
      </c>
      <c r="J29" s="59">
        <f t="shared" si="6"/>
        <v>-81</v>
      </c>
      <c r="K29" s="59">
        <f t="shared" si="6"/>
        <v>0</v>
      </c>
      <c r="L29" s="344">
        <f t="shared" si="1"/>
        <v>9759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9595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245</v>
      </c>
      <c r="J32" s="59">
        <f t="shared" si="7"/>
        <v>-81</v>
      </c>
      <c r="K32" s="59">
        <f t="shared" si="7"/>
        <v>0</v>
      </c>
      <c r="L32" s="344">
        <f t="shared" si="1"/>
        <v>9759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576" t="s">
        <v>867</v>
      </c>
      <c r="D38" s="576"/>
      <c r="E38" s="538"/>
      <c r="F38" s="592"/>
      <c r="G38" s="592"/>
      <c r="H38" s="592"/>
      <c r="I38" s="592"/>
      <c r="J38" s="15" t="s">
        <v>855</v>
      </c>
      <c r="K38" s="15"/>
      <c r="L38" s="592"/>
      <c r="M38" s="592"/>
      <c r="N38" s="11"/>
    </row>
    <row r="39" spans="1:13" ht="25.5">
      <c r="A39" s="536"/>
      <c r="B39" s="537"/>
      <c r="C39" s="538"/>
      <c r="D39" s="538"/>
      <c r="E39" s="538"/>
      <c r="F39" s="538"/>
      <c r="G39" s="538"/>
      <c r="H39" s="538"/>
      <c r="I39" s="538"/>
      <c r="J39" s="169" t="s">
        <v>871</v>
      </c>
      <c r="K39" s="538"/>
      <c r="L39" s="169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P54" sqref="P5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383</v>
      </c>
      <c r="B2" s="602"/>
      <c r="C2" s="603" t="str">
        <f>'справка №1-БАЛАНС'!E3</f>
        <v>"АТЛАС ФИНАНС "АД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201164403</v>
      </c>
      <c r="P2" s="483"/>
      <c r="Q2" s="483"/>
      <c r="R2" s="526"/>
    </row>
    <row r="3" spans="1:18" ht="15">
      <c r="A3" s="601" t="s">
        <v>5</v>
      </c>
      <c r="B3" s="602"/>
      <c r="C3" s="604">
        <f>'справка №1-БАЛАНС'!E5</f>
        <v>41639</v>
      </c>
      <c r="D3" s="604"/>
      <c r="E3" s="604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463</v>
      </c>
      <c r="B5" s="611"/>
      <c r="C5" s="59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7" t="s">
        <v>528</v>
      </c>
      <c r="R5" s="607" t="s">
        <v>529</v>
      </c>
    </row>
    <row r="6" spans="1:18" s="100" customFormat="1" ht="48">
      <c r="A6" s="612"/>
      <c r="B6" s="613"/>
      <c r="C6" s="59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8"/>
      <c r="R6" s="60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438</v>
      </c>
      <c r="E10" s="189"/>
      <c r="F10" s="189"/>
      <c r="G10" s="74">
        <f aca="true" t="shared" si="2" ref="G10:G39">D10+E10-F10</f>
        <v>438</v>
      </c>
      <c r="H10" s="65"/>
      <c r="I10" s="65"/>
      <c r="J10" s="74">
        <f aca="true" t="shared" si="3" ref="J10:J39">G10+H10-I10</f>
        <v>438</v>
      </c>
      <c r="K10" s="65">
        <v>44</v>
      </c>
      <c r="L10" s="65">
        <v>18</v>
      </c>
      <c r="M10" s="65"/>
      <c r="N10" s="74">
        <f aca="true" t="shared" si="4" ref="N10:N39">K10+L10-M10</f>
        <v>62</v>
      </c>
      <c r="O10" s="65"/>
      <c r="P10" s="65"/>
      <c r="Q10" s="74">
        <f t="shared" si="0"/>
        <v>62</v>
      </c>
      <c r="R10" s="74">
        <f t="shared" si="1"/>
        <v>376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>
        <v>1</v>
      </c>
      <c r="F13" s="189"/>
      <c r="G13" s="74">
        <f t="shared" si="2"/>
        <v>1</v>
      </c>
      <c r="H13" s="65"/>
      <c r="I13" s="65"/>
      <c r="J13" s="74">
        <f t="shared" si="3"/>
        <v>1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438</v>
      </c>
      <c r="E17" s="194">
        <f>SUM(E9:E16)</f>
        <v>1</v>
      </c>
      <c r="F17" s="194">
        <f>SUM(F9:F16)</f>
        <v>0</v>
      </c>
      <c r="G17" s="74">
        <f t="shared" si="2"/>
        <v>439</v>
      </c>
      <c r="H17" s="75">
        <f>SUM(H9:H16)</f>
        <v>0</v>
      </c>
      <c r="I17" s="75">
        <f>SUM(I9:I16)</f>
        <v>0</v>
      </c>
      <c r="J17" s="74">
        <f t="shared" si="3"/>
        <v>439</v>
      </c>
      <c r="K17" s="75">
        <f>SUM(K9:K16)</f>
        <v>44</v>
      </c>
      <c r="L17" s="75">
        <f>SUM(L9:L16)</f>
        <v>18</v>
      </c>
      <c r="M17" s="75">
        <f>SUM(M9:M16)</f>
        <v>0</v>
      </c>
      <c r="N17" s="74">
        <f t="shared" si="4"/>
        <v>62</v>
      </c>
      <c r="O17" s="75">
        <f>SUM(O9:O16)</f>
        <v>0</v>
      </c>
      <c r="P17" s="75">
        <f>SUM(P9:P16)</f>
        <v>0</v>
      </c>
      <c r="Q17" s="74">
        <f t="shared" si="5"/>
        <v>62</v>
      </c>
      <c r="R17" s="74">
        <f t="shared" si="6"/>
        <v>377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369</v>
      </c>
      <c r="E18" s="187"/>
      <c r="F18" s="187"/>
      <c r="G18" s="74">
        <f t="shared" si="2"/>
        <v>369</v>
      </c>
      <c r="H18" s="63"/>
      <c r="I18" s="63"/>
      <c r="J18" s="74">
        <f t="shared" si="3"/>
        <v>369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369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>
        <v>3</v>
      </c>
      <c r="F24" s="189"/>
      <c r="G24" s="74">
        <f t="shared" si="2"/>
        <v>3</v>
      </c>
      <c r="H24" s="65"/>
      <c r="I24" s="65"/>
      <c r="J24" s="74">
        <f t="shared" si="3"/>
        <v>3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8374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8374</v>
      </c>
      <c r="H27" s="70">
        <f t="shared" si="8"/>
        <v>0</v>
      </c>
      <c r="I27" s="70">
        <f t="shared" si="8"/>
        <v>0</v>
      </c>
      <c r="J27" s="71">
        <f t="shared" si="3"/>
        <v>8374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8374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5599</v>
      </c>
      <c r="E30" s="189"/>
      <c r="F30" s="189"/>
      <c r="G30" s="74">
        <f t="shared" si="2"/>
        <v>5599</v>
      </c>
      <c r="H30" s="72"/>
      <c r="I30" s="72"/>
      <c r="J30" s="74">
        <f t="shared" si="3"/>
        <v>5599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5599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2775</v>
      </c>
      <c r="E31" s="189"/>
      <c r="F31" s="189"/>
      <c r="G31" s="74">
        <f t="shared" si="2"/>
        <v>2775</v>
      </c>
      <c r="H31" s="72"/>
      <c r="I31" s="72"/>
      <c r="J31" s="74">
        <f t="shared" si="3"/>
        <v>2775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2775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8374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8374</v>
      </c>
      <c r="H38" s="75">
        <f t="shared" si="12"/>
        <v>0</v>
      </c>
      <c r="I38" s="75">
        <f t="shared" si="12"/>
        <v>0</v>
      </c>
      <c r="J38" s="74">
        <f t="shared" si="3"/>
        <v>8374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8374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9181</v>
      </c>
      <c r="E40" s="438">
        <f>E17+E18+E19+E25+E38+E39</f>
        <v>4</v>
      </c>
      <c r="F40" s="438">
        <f aca="true" t="shared" si="13" ref="F40:R40">F17+F18+F19+F25+F38+F39</f>
        <v>0</v>
      </c>
      <c r="G40" s="438">
        <f t="shared" si="13"/>
        <v>9185</v>
      </c>
      <c r="H40" s="438">
        <f t="shared" si="13"/>
        <v>0</v>
      </c>
      <c r="I40" s="438">
        <f t="shared" si="13"/>
        <v>0</v>
      </c>
      <c r="J40" s="438">
        <f t="shared" si="13"/>
        <v>9185</v>
      </c>
      <c r="K40" s="438">
        <f t="shared" si="13"/>
        <v>44</v>
      </c>
      <c r="L40" s="438">
        <f t="shared" si="13"/>
        <v>18</v>
      </c>
      <c r="M40" s="438">
        <f t="shared" si="13"/>
        <v>0</v>
      </c>
      <c r="N40" s="438">
        <f t="shared" si="13"/>
        <v>62</v>
      </c>
      <c r="O40" s="438">
        <f t="shared" si="13"/>
        <v>0</v>
      </c>
      <c r="P40" s="438">
        <f t="shared" si="13"/>
        <v>0</v>
      </c>
      <c r="Q40" s="438">
        <f t="shared" si="13"/>
        <v>62</v>
      </c>
      <c r="R40" s="438">
        <f t="shared" si="13"/>
        <v>9123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0"/>
      <c r="L44" s="600"/>
      <c r="M44" s="600"/>
      <c r="N44" s="600"/>
      <c r="O44" s="605" t="s">
        <v>779</v>
      </c>
      <c r="P44" s="606"/>
      <c r="Q44" s="606"/>
      <c r="R44" s="606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169" t="s">
        <v>871</v>
      </c>
      <c r="P45" s="16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35" sqref="D3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"АТЛАС ФИНАНС "АД</v>
      </c>
      <c r="C3" s="621"/>
      <c r="D3" s="526" t="s">
        <v>2</v>
      </c>
      <c r="E3" s="107">
        <f>'справка №1-БАЛАНС'!H3</f>
        <v>201164403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41639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1300</v>
      </c>
      <c r="D15" s="108">
        <v>0</v>
      </c>
      <c r="E15" s="120">
        <f t="shared" si="0"/>
        <v>1300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1300</v>
      </c>
      <c r="D19" s="104">
        <f>D11+D15+D16</f>
        <v>0</v>
      </c>
      <c r="E19" s="118">
        <f>E11+E15+E16</f>
        <v>1300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45</v>
      </c>
      <c r="D24" s="119">
        <f>SUM(D25:D27)</f>
        <v>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4</v>
      </c>
      <c r="D25" s="108">
        <v>4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41</v>
      </c>
      <c r="D26" s="108">
        <v>41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52</v>
      </c>
      <c r="D28" s="108">
        <v>52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</v>
      </c>
      <c r="D29" s="108">
        <v>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60</v>
      </c>
      <c r="D30" s="108">
        <v>60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698</v>
      </c>
      <c r="D38" s="105">
        <f>SUM(D39:D42)</f>
        <v>698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698</v>
      </c>
      <c r="D42" s="108">
        <v>698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857</v>
      </c>
      <c r="D43" s="104">
        <f>D24+D28+D29+D31+D30+D32+D33+D38</f>
        <v>857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2157</v>
      </c>
      <c r="D44" s="103">
        <f>D43+D21+D19+D9</f>
        <v>857</v>
      </c>
      <c r="E44" s="118">
        <f>E43+E21+E19+E9</f>
        <v>1300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731</v>
      </c>
      <c r="D52" s="103">
        <f>SUM(D53:D55)</f>
        <v>0</v>
      </c>
      <c r="E52" s="119">
        <f>C52-D52</f>
        <v>731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731</v>
      </c>
      <c r="D53" s="108"/>
      <c r="E53" s="119">
        <f>C53-D53</f>
        <v>731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246</v>
      </c>
      <c r="D62" s="108"/>
      <c r="E62" s="119">
        <f t="shared" si="1"/>
        <v>246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977</v>
      </c>
      <c r="D66" s="103">
        <f>D52+D56+D61+D62+D63+D64</f>
        <v>0</v>
      </c>
      <c r="E66" s="119">
        <f t="shared" si="1"/>
        <v>977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1146</v>
      </c>
      <c r="D68" s="108"/>
      <c r="E68" s="119">
        <f t="shared" si="1"/>
        <v>1146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294</v>
      </c>
      <c r="D71" s="105">
        <f>SUM(D72:D74)</f>
        <v>294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</v>
      </c>
      <c r="D72" s="108">
        <v>8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286</v>
      </c>
      <c r="D74" s="108">
        <v>286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123</v>
      </c>
      <c r="D85" s="104">
        <f>SUM(D86:D90)+D94</f>
        <v>123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99</v>
      </c>
      <c r="D86" s="108">
        <v>99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</v>
      </c>
      <c r="D89" s="108">
        <v>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6</v>
      </c>
      <c r="D92" s="108">
        <v>6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</v>
      </c>
      <c r="D93" s="108">
        <v>4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399</v>
      </c>
      <c r="D95" s="108">
        <v>399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816</v>
      </c>
      <c r="D96" s="104">
        <f>D85+D80+D75+D71+D95</f>
        <v>816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2939</v>
      </c>
      <c r="D97" s="104">
        <f>D96+D68+D66</f>
        <v>816</v>
      </c>
      <c r="E97" s="104">
        <f>E96+E68+E66</f>
        <v>2123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876</v>
      </c>
      <c r="B109" s="615"/>
      <c r="C109" s="615" t="s">
        <v>869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779</v>
      </c>
      <c r="D111" s="614"/>
      <c r="E111" s="614"/>
      <c r="F111" s="614"/>
    </row>
    <row r="112" spans="1:6" ht="12.75">
      <c r="A112" s="349"/>
      <c r="B112" s="388"/>
      <c r="C112" s="16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"АТЛАС ФИНАНС "АД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201164403</v>
      </c>
    </row>
    <row r="5" spans="1:9" ht="15">
      <c r="A5" s="501" t="s">
        <v>5</v>
      </c>
      <c r="B5" s="623">
        <f>'справка №1-БАЛАНС'!E5</f>
        <v>41639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10174850</v>
      </c>
      <c r="D12" s="98"/>
      <c r="E12" s="98"/>
      <c r="F12" s="98">
        <v>8374</v>
      </c>
      <c r="G12" s="98"/>
      <c r="H12" s="98"/>
      <c r="I12" s="434">
        <f>F12+G12-H12</f>
        <v>8374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10174850</v>
      </c>
      <c r="D17" s="85">
        <f t="shared" si="1"/>
        <v>0</v>
      </c>
      <c r="E17" s="85">
        <f t="shared" si="1"/>
        <v>0</v>
      </c>
      <c r="F17" s="85">
        <f t="shared" si="1"/>
        <v>8374</v>
      </c>
      <c r="G17" s="85">
        <f t="shared" si="1"/>
        <v>0</v>
      </c>
      <c r="H17" s="85">
        <f t="shared" si="1"/>
        <v>0</v>
      </c>
      <c r="I17" s="434">
        <f t="shared" si="0"/>
        <v>8374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39074</v>
      </c>
      <c r="D19" s="98"/>
      <c r="E19" s="98"/>
      <c r="F19" s="98">
        <v>1313</v>
      </c>
      <c r="G19" s="98"/>
      <c r="H19" s="98"/>
      <c r="I19" s="434">
        <f t="shared" si="0"/>
        <v>1313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39074</v>
      </c>
      <c r="D26" s="85">
        <f t="shared" si="2"/>
        <v>0</v>
      </c>
      <c r="E26" s="85">
        <f t="shared" si="2"/>
        <v>0</v>
      </c>
      <c r="F26" s="85">
        <f t="shared" si="2"/>
        <v>1313</v>
      </c>
      <c r="G26" s="85">
        <f t="shared" si="2"/>
        <v>0</v>
      </c>
      <c r="H26" s="85">
        <f t="shared" si="2"/>
        <v>0</v>
      </c>
      <c r="I26" s="434">
        <f t="shared" si="0"/>
        <v>1313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817</v>
      </c>
      <c r="E30" s="624" t="s">
        <v>866</v>
      </c>
      <c r="F30" s="624"/>
      <c r="G30" s="624"/>
      <c r="H30" s="420" t="s">
        <v>779</v>
      </c>
      <c r="I30" s="624"/>
      <c r="J30" s="624"/>
    </row>
    <row r="31" spans="1:9" s="521" customFormat="1" ht="12.75">
      <c r="A31" s="349"/>
      <c r="B31" s="388"/>
      <c r="C31" s="349"/>
      <c r="D31" s="523"/>
      <c r="E31" s="523"/>
      <c r="F31" s="523"/>
      <c r="G31" s="523"/>
      <c r="H31" s="169" t="s">
        <v>871</v>
      </c>
      <c r="I31" s="169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C153" sqref="C153:F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"АТЛАС ФИНАНС "АД</v>
      </c>
      <c r="C5" s="629"/>
      <c r="D5" s="629"/>
      <c r="E5" s="570" t="s">
        <v>2</v>
      </c>
      <c r="F5" s="451">
        <f>'справка №1-БАЛАНС'!H3</f>
        <v>201164403</v>
      </c>
    </row>
    <row r="6" spans="1:13" ht="15" customHeight="1">
      <c r="A6" s="27" t="s">
        <v>820</v>
      </c>
      <c r="B6" s="630" t="s">
        <v>870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862</v>
      </c>
      <c r="B46" s="40"/>
      <c r="C46" s="441">
        <v>5599</v>
      </c>
      <c r="D46" s="441">
        <v>35.8</v>
      </c>
      <c r="E46" s="441">
        <v>5599</v>
      </c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5599</v>
      </c>
      <c r="D61" s="429"/>
      <c r="E61" s="429">
        <f>SUM(E46:E60)</f>
        <v>5599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2775</v>
      </c>
      <c r="D63" s="441">
        <v>10.38</v>
      </c>
      <c r="E63" s="441">
        <v>2775</v>
      </c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2775</v>
      </c>
      <c r="D78" s="429"/>
      <c r="E78" s="429">
        <f>SUM(E63:E77)</f>
        <v>2775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8374</v>
      </c>
      <c r="D79" s="429"/>
      <c r="E79" s="429">
        <f>E78+E61+E44+E27</f>
        <v>8374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1" t="s">
        <v>867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854</v>
      </c>
      <c r="D153" s="631"/>
      <c r="E153" s="631"/>
      <c r="F153" s="631"/>
    </row>
    <row r="154" spans="3:5" ht="12.75">
      <c r="C154" s="169" t="s">
        <v>871</v>
      </c>
      <c r="D154" s="169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DIDO</cp:lastModifiedBy>
  <cp:lastPrinted>2014-01-30T08:04:28Z</cp:lastPrinted>
  <dcterms:created xsi:type="dcterms:W3CDTF">2000-06-29T12:02:40Z</dcterms:created>
  <dcterms:modified xsi:type="dcterms:W3CDTF">2014-01-30T08:09:50Z</dcterms:modified>
  <cp:category/>
  <cp:version/>
  <cp:contentType/>
  <cp:contentStatus/>
</cp:coreProperties>
</file>